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Z:\Missions GALEA\M3788 - Observatoire EPS Galea\2026.06.30 - Observatoire\2 - Travaux\"/>
    </mc:Choice>
  </mc:AlternateContent>
  <xr:revisionPtr revIDLastSave="0" documentId="13_ncr:1_{23002D40-722E-4A97-B583-AA3B59732FAC}" xr6:coauthVersionLast="47" xr6:coauthVersionMax="47" xr10:uidLastSave="{00000000-0000-0000-0000-000000000000}"/>
  <bookViews>
    <workbookView xWindow="-110" yWindow="-110" windowWidth="19420" windowHeight="11500" tabRatio="747" xr2:uid="{00000000-000D-0000-FFFF-FFFF00000000}"/>
  </bookViews>
  <sheets>
    <sheet name="Monétaire" sheetId="1" r:id="rId1"/>
    <sheet name="Obligataire" sheetId="2" r:id="rId2"/>
    <sheet name="Obli Flex Int" sheetId="20" r:id="rId3"/>
    <sheet name="Diversifié Prudent" sheetId="25" r:id="rId4"/>
    <sheet name="Diversifié Equilibre 50-50" sheetId="4" r:id="rId5"/>
    <sheet name="Diversifié Flexible" sheetId="26" r:id="rId6"/>
    <sheet name="Actions Europe" sheetId="5" r:id="rId7"/>
    <sheet name="Actions Monde" sheetId="6" r:id="rId8"/>
    <sheet name="Actions PEA PME" sheetId="14" r:id="rId9"/>
    <sheet name="Horizon" sheetId="16" r:id="rId10"/>
    <sheet name="Fonds thématique environnement" sheetId="22" r:id="rId11"/>
    <sheet name="Fonds thématique social" sheetId="23" r:id="rId12"/>
    <sheet name="Fonds thématique &quot;Autre&quot;" sheetId="27" r:id="rId13"/>
  </sheets>
  <definedNames>
    <definedName name="_xlnm._FilterDatabase" localSheetId="6" hidden="1">'Actions Europe'!$A$3:$AC$3</definedName>
    <definedName name="_xlnm._FilterDatabase" localSheetId="7" hidden="1">'Actions Monde'!$A$3:$AC$3</definedName>
    <definedName name="_xlnm._FilterDatabase" localSheetId="8" hidden="1">'Actions PEA PME'!$A$3:$AC$3</definedName>
    <definedName name="_xlnm._FilterDatabase" localSheetId="4" hidden="1">'Diversifié Equilibre 50-50'!$A$3:$AC$3</definedName>
    <definedName name="_xlnm._FilterDatabase" localSheetId="5" hidden="1">'Diversifié Flexible'!$A$3:$AC$3</definedName>
    <definedName name="_xlnm._FilterDatabase" localSheetId="3" hidden="1">'Diversifié Prudent'!$A$3:$AC$3</definedName>
    <definedName name="_xlnm._FilterDatabase" localSheetId="12" hidden="1">'Fonds thématique "Autre"'!$A$3:$AC$3</definedName>
    <definedName name="_xlnm._FilterDatabase" localSheetId="10" hidden="1">'Fonds thématique environnement'!$A$3:$AC$3</definedName>
    <definedName name="_xlnm._FilterDatabase" localSheetId="11" hidden="1">'Fonds thématique social'!$A$3:$AC$3</definedName>
    <definedName name="_xlnm._FilterDatabase" localSheetId="9" hidden="1">Horizon!$A$3:$AC$3</definedName>
    <definedName name="_xlnm._FilterDatabase" localSheetId="0" hidden="1">Monétaire!$A$3:$AD$3</definedName>
    <definedName name="_xlnm._FilterDatabase" localSheetId="2" hidden="1">'Obli Flex Int'!$A$3:$AD$3</definedName>
    <definedName name="_xlnm._FilterDatabase" localSheetId="1" hidden="1">Obligataire!$A$3:$AC$3</definedName>
    <definedName name="_xlnm.Print_Area" localSheetId="6">'Actions Europe'!$A$1:$AC$25</definedName>
    <definedName name="_xlnm.Print_Area" localSheetId="7">'Actions Monde'!$A$1:$AC$24</definedName>
    <definedName name="_xlnm.Print_Area" localSheetId="8">'Actions PEA PME'!$A$1:$AC$16</definedName>
    <definedName name="_xlnm.Print_Area" localSheetId="4">'Diversifié Equilibre 50-50'!$A$1:$AC$17</definedName>
    <definedName name="_xlnm.Print_Area" localSheetId="5">'Diversifié Flexible'!$A$1:$AC$21</definedName>
    <definedName name="_xlnm.Print_Area" localSheetId="3">'Diversifié Prudent'!$A$1:$AC$15</definedName>
    <definedName name="_xlnm.Print_Area" localSheetId="12">'Fonds thématique "Autre"'!$A$1:$AC$20</definedName>
    <definedName name="_xlnm.Print_Area" localSheetId="10">'Fonds thématique environnement'!$A$1:$AC$20</definedName>
    <definedName name="_xlnm.Print_Area" localSheetId="11">'Fonds thématique social'!$A$1:$AC$13</definedName>
    <definedName name="_xlnm.Print_Area" localSheetId="9">Horizon!$A$1:$AC$12</definedName>
    <definedName name="_xlnm.Print_Area" localSheetId="0">Monétaire!$A$1:$AD$15</definedName>
    <definedName name="_xlnm.Print_Area" localSheetId="2">'Obli Flex Int'!$A$1:$AD$19</definedName>
    <definedName name="_xlnm.Print_Area" localSheetId="1">Obligataire!$A$2:$AC$24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4" i="2" l="1"/>
  <c r="E24" i="6" l="1"/>
  <c r="C24" i="6"/>
  <c r="G20" i="27" l="1"/>
  <c r="H20" i="27"/>
  <c r="I20" i="27"/>
  <c r="J20" i="27"/>
  <c r="K20" i="27"/>
  <c r="L20" i="27"/>
  <c r="M20" i="27"/>
  <c r="N20" i="27"/>
  <c r="O20" i="27"/>
  <c r="P20" i="27"/>
  <c r="Q20" i="27"/>
  <c r="R20" i="27"/>
  <c r="S20" i="27"/>
  <c r="T20" i="27"/>
  <c r="U20" i="27"/>
  <c r="W20" i="27"/>
  <c r="V20" i="27"/>
  <c r="I13" i="23" l="1"/>
  <c r="H13" i="23"/>
  <c r="E13" i="23"/>
  <c r="F13" i="23"/>
  <c r="G13" i="23"/>
  <c r="D13" i="23"/>
  <c r="J13" i="23"/>
  <c r="K13" i="23"/>
  <c r="L13" i="23"/>
  <c r="M13" i="23"/>
  <c r="N13" i="23"/>
  <c r="O13" i="23"/>
  <c r="P13" i="23"/>
  <c r="Q13" i="23"/>
  <c r="R13" i="23"/>
  <c r="S13" i="23"/>
  <c r="T13" i="23"/>
  <c r="U13" i="23"/>
  <c r="V13" i="23"/>
  <c r="W13" i="23"/>
  <c r="D12" i="16"/>
  <c r="W16" i="14"/>
  <c r="V16" i="14"/>
  <c r="U16" i="14"/>
  <c r="T16" i="14"/>
  <c r="S16" i="14"/>
  <c r="R16" i="14"/>
  <c r="Q16" i="14"/>
  <c r="P16" i="14"/>
  <c r="O16" i="14"/>
  <c r="N16" i="14"/>
  <c r="M16" i="14"/>
  <c r="L16" i="14"/>
  <c r="T24" i="6" l="1"/>
  <c r="S24" i="6"/>
  <c r="R24" i="6"/>
  <c r="Q24" i="6"/>
  <c r="P24" i="6"/>
  <c r="O24" i="6"/>
  <c r="N24" i="6"/>
  <c r="M24" i="6"/>
  <c r="L24" i="6"/>
  <c r="T25" i="5"/>
  <c r="W25" i="5"/>
  <c r="V25" i="5"/>
  <c r="U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1" i="26"/>
  <c r="S21" i="26"/>
  <c r="R21" i="26"/>
  <c r="Q21" i="26"/>
  <c r="P21" i="26"/>
  <c r="O21" i="26"/>
  <c r="N21" i="26"/>
  <c r="M21" i="26"/>
  <c r="L21" i="26"/>
  <c r="K21" i="26"/>
  <c r="J21" i="26"/>
  <c r="H21" i="26"/>
  <c r="L17" i="4"/>
  <c r="H17" i="4"/>
  <c r="M15" i="25"/>
  <c r="N15" i="25"/>
  <c r="O15" i="25"/>
  <c r="P15" i="25"/>
  <c r="H15" i="25"/>
  <c r="Q15" i="25"/>
  <c r="S15" i="25"/>
  <c r="W15" i="25"/>
  <c r="V15" i="25"/>
  <c r="U15" i="25"/>
  <c r="T15" i="25"/>
  <c r="U19" i="20"/>
  <c r="C12" i="16" l="1"/>
  <c r="I15" i="25"/>
  <c r="D19" i="20"/>
  <c r="C24" i="2"/>
  <c r="D15" i="1"/>
  <c r="C20" i="27" l="1"/>
  <c r="J16" i="14"/>
  <c r="I16" i="14"/>
  <c r="H16" i="14"/>
  <c r="C13" i="23"/>
  <c r="G12" i="16"/>
  <c r="F12" i="16"/>
  <c r="E12" i="16"/>
  <c r="F16" i="14"/>
  <c r="H24" i="6"/>
  <c r="D24" i="6"/>
  <c r="V24" i="6"/>
  <c r="I21" i="26"/>
  <c r="G21" i="26"/>
  <c r="F21" i="26"/>
  <c r="E21" i="26"/>
  <c r="C21" i="26"/>
  <c r="R17" i="4"/>
  <c r="C15" i="1"/>
  <c r="F20" i="27"/>
  <c r="E20" i="27"/>
  <c r="D20" i="27"/>
  <c r="W21" i="26"/>
  <c r="V21" i="26"/>
  <c r="U21" i="26"/>
  <c r="D21" i="26"/>
  <c r="R15" i="25"/>
  <c r="L15" i="25"/>
  <c r="K15" i="25"/>
  <c r="J15" i="25"/>
  <c r="G15" i="25"/>
  <c r="F15" i="25"/>
  <c r="E15" i="25"/>
  <c r="D15" i="25"/>
  <c r="C15" i="25"/>
  <c r="C25" i="5"/>
  <c r="W24" i="2"/>
  <c r="D20" i="22"/>
  <c r="C20" i="22"/>
  <c r="E16" i="14"/>
  <c r="C16" i="14"/>
  <c r="W24" i="6"/>
  <c r="F24" i="6"/>
  <c r="W17" i="4"/>
  <c r="C19" i="20"/>
  <c r="W19" i="20"/>
  <c r="D24" i="2"/>
  <c r="L19" i="20"/>
  <c r="M24" i="2"/>
  <c r="K24" i="2"/>
  <c r="E20" i="22"/>
  <c r="F20" i="22"/>
  <c r="G20" i="22"/>
  <c r="H20" i="22"/>
  <c r="I20" i="22"/>
  <c r="J20" i="22"/>
  <c r="K20" i="22"/>
  <c r="L20" i="22"/>
  <c r="M20" i="22"/>
  <c r="N20" i="22"/>
  <c r="O20" i="22"/>
  <c r="P20" i="22"/>
  <c r="Q20" i="22"/>
  <c r="R20" i="22"/>
  <c r="S20" i="22"/>
  <c r="T20" i="22"/>
  <c r="U20" i="22"/>
  <c r="V20" i="22"/>
  <c r="W20" i="22"/>
  <c r="E19" i="20"/>
  <c r="F19" i="20"/>
  <c r="G19" i="20"/>
  <c r="H19" i="20"/>
  <c r="I19" i="20"/>
  <c r="J19" i="20"/>
  <c r="K19" i="20"/>
  <c r="M19" i="20"/>
  <c r="N19" i="20"/>
  <c r="O19" i="20"/>
  <c r="P19" i="20"/>
  <c r="Q19" i="20"/>
  <c r="R19" i="20"/>
  <c r="S19" i="20"/>
  <c r="T19" i="20"/>
  <c r="V19" i="20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D16" i="14"/>
  <c r="G16" i="14"/>
  <c r="K16" i="14"/>
  <c r="G24" i="6"/>
  <c r="I24" i="6"/>
  <c r="J24" i="6"/>
  <c r="K24" i="6"/>
  <c r="U24" i="6"/>
  <c r="D17" i="4"/>
  <c r="E17" i="4"/>
  <c r="F17" i="4"/>
  <c r="G17" i="4"/>
  <c r="I17" i="4"/>
  <c r="J17" i="4"/>
  <c r="K17" i="4"/>
  <c r="M17" i="4"/>
  <c r="N17" i="4"/>
  <c r="O17" i="4"/>
  <c r="P17" i="4"/>
  <c r="Q17" i="4"/>
  <c r="S17" i="4"/>
  <c r="T17" i="4"/>
  <c r="U17" i="4"/>
  <c r="V17" i="4"/>
  <c r="C17" i="4"/>
  <c r="E24" i="2"/>
  <c r="F24" i="2"/>
  <c r="G24" i="2"/>
  <c r="I24" i="2"/>
  <c r="J24" i="2"/>
  <c r="L24" i="2"/>
  <c r="N24" i="2"/>
  <c r="O24" i="2"/>
  <c r="P24" i="2"/>
  <c r="Q24" i="2"/>
  <c r="R24" i="2"/>
  <c r="S24" i="2"/>
  <c r="T24" i="2"/>
  <c r="U24" i="2"/>
  <c r="V24" i="2"/>
  <c r="W15" i="1"/>
  <c r="U15" i="1"/>
  <c r="V15" i="1"/>
  <c r="T15" i="1"/>
  <c r="S15" i="1"/>
  <c r="Q15" i="1"/>
  <c r="R15" i="1"/>
  <c r="P15" i="1"/>
  <c r="O15" i="1"/>
  <c r="M15" i="1"/>
  <c r="N15" i="1"/>
  <c r="L15" i="1"/>
  <c r="K15" i="1"/>
  <c r="I15" i="1"/>
  <c r="J15" i="1"/>
  <c r="H15" i="1"/>
  <c r="G15" i="1"/>
  <c r="E15" i="1"/>
  <c r="F15" i="1"/>
</calcChain>
</file>

<file path=xl/sharedStrings.xml><?xml version="1.0" encoding="utf-8"?>
<sst xmlns="http://schemas.openxmlformats.org/spreadsheetml/2006/main" count="2494" uniqueCount="274">
  <si>
    <t>Société</t>
  </si>
  <si>
    <t>Nom du fonds</t>
  </si>
  <si>
    <t>Observatoire</t>
  </si>
  <si>
    <t>Moyenne</t>
  </si>
  <si>
    <t>Volatilité annualisée depuis 01/08</t>
  </si>
  <si>
    <t>Max Drawdown depuis 01/08</t>
  </si>
  <si>
    <t>Date de recommandation du fonds</t>
  </si>
  <si>
    <t>Performance annualisée 5 ans</t>
  </si>
  <si>
    <t>Performance annualisée 3 ans</t>
  </si>
  <si>
    <t>Type</t>
  </si>
  <si>
    <t>Couple Rendement Risque 5 ans</t>
  </si>
  <si>
    <t>Couple Rendement Risque 1 an</t>
  </si>
  <si>
    <t>Couple Rendement / Risque depuis 01/08</t>
  </si>
  <si>
    <t>Colonne1</t>
  </si>
  <si>
    <t>Performance annualisée 1 an</t>
  </si>
  <si>
    <r>
      <rPr>
        <sz val="12"/>
        <rFont val="Calibri"/>
        <family val="2"/>
      </rPr>
      <t>Univers :</t>
    </r>
    <r>
      <rPr>
        <b/>
        <sz val="12"/>
        <rFont val="Calibri"/>
        <family val="2"/>
      </rPr>
      <t xml:space="preserve"> </t>
    </r>
  </si>
  <si>
    <t>MONETAIRE EUR</t>
  </si>
  <si>
    <t>OBLIGATAIRE EUR</t>
  </si>
  <si>
    <t>ACTIONS EUROPE</t>
  </si>
  <si>
    <t>ACTIONS MONDE</t>
  </si>
  <si>
    <t>FONDS HORIZON</t>
  </si>
  <si>
    <t xml:space="preserve"> </t>
  </si>
  <si>
    <t>OBLIGATAIRE FLEX INTER</t>
  </si>
  <si>
    <t>Performance annualisée 10 ans</t>
  </si>
  <si>
    <t>Couple Rendement Risque 10 ans</t>
  </si>
  <si>
    <t>Fonds thématique environnement</t>
  </si>
  <si>
    <t>Fonds thématique social</t>
  </si>
  <si>
    <t>BNPP ERE</t>
  </si>
  <si>
    <t>Multipar Monétaire Sélection</t>
  </si>
  <si>
    <t>FCP</t>
  </si>
  <si>
    <t>oui</t>
  </si>
  <si>
    <t>FCPE</t>
  </si>
  <si>
    <t>non</t>
  </si>
  <si>
    <t>SICAV</t>
  </si>
  <si>
    <t>Carmignac</t>
  </si>
  <si>
    <t>DNCA</t>
  </si>
  <si>
    <t>Multipar Oblig Euro</t>
  </si>
  <si>
    <t>FCP/SICAV</t>
  </si>
  <si>
    <t>DNCA Invest Value Europe</t>
  </si>
  <si>
    <t>BNP PARIBAS Aqua</t>
  </si>
  <si>
    <t>BNP PARIBAS Inclusive growth</t>
  </si>
  <si>
    <t>DNCA Invest Credit Conviction</t>
  </si>
  <si>
    <t>Robeco</t>
  </si>
  <si>
    <t>Euro Credit Bonds I</t>
  </si>
  <si>
    <t>Sustainable European Stars Equities</t>
  </si>
  <si>
    <t>BP Global Premium Equities</t>
  </si>
  <si>
    <r>
      <rPr>
        <b/>
        <i/>
        <sz val="16"/>
        <color rgb="FFC00000"/>
        <rFont val="Calibri"/>
        <family val="2"/>
      </rPr>
      <t>O</t>
    </r>
    <r>
      <rPr>
        <i/>
        <sz val="16"/>
        <color indexed="23"/>
        <rFont val="Calibri"/>
        <family val="2"/>
      </rPr>
      <t>bservatoire</t>
    </r>
    <r>
      <rPr>
        <sz val="16"/>
        <color indexed="23"/>
        <rFont val="Calibri"/>
        <family val="2"/>
      </rPr>
      <t xml:space="preserve"> </t>
    </r>
    <r>
      <rPr>
        <b/>
        <sz val="16"/>
        <color indexed="23"/>
        <rFont val="Calibri"/>
        <family val="2"/>
      </rPr>
      <t>GALEA EPS</t>
    </r>
    <r>
      <rPr>
        <sz val="16"/>
        <color indexed="8"/>
        <rFont val="Calibri"/>
        <family val="2"/>
      </rPr>
      <t xml:space="preserve"> de l'Epargne d'Entreprise</t>
    </r>
  </si>
  <si>
    <t>Allianz GI</t>
  </si>
  <si>
    <t>Fidelity</t>
  </si>
  <si>
    <t>Groupama AM</t>
  </si>
  <si>
    <t>Natixis</t>
  </si>
  <si>
    <t>Securicash SRI</t>
  </si>
  <si>
    <t>CM-AM Perspective Monétaire B</t>
  </si>
  <si>
    <t xml:space="preserve">Groupama Epargne &amp; Retraite Monétaire </t>
  </si>
  <si>
    <t>FIVG</t>
  </si>
  <si>
    <t>Aberdeen Standard Investments</t>
  </si>
  <si>
    <t>ECOFI</t>
  </si>
  <si>
    <t>La Financière de l'Echiquier</t>
  </si>
  <si>
    <t>Lazard Frères Gestion</t>
  </si>
  <si>
    <t>Pictet AM</t>
  </si>
  <si>
    <t>Vanguard</t>
  </si>
  <si>
    <t>Euro Corporate Bond Fund</t>
  </si>
  <si>
    <t>Euro Bond Fund</t>
  </si>
  <si>
    <t>Echiquier Credit SRI Europe</t>
  </si>
  <si>
    <t>Lazard Euro Short Duration SRI</t>
  </si>
  <si>
    <t>Avenir Obligataire</t>
  </si>
  <si>
    <t>EUR Bonds</t>
  </si>
  <si>
    <t>EUR Government Bond Index</t>
  </si>
  <si>
    <t>Amundi</t>
  </si>
  <si>
    <t>HSBC EE</t>
  </si>
  <si>
    <t>Strategy 50</t>
  </si>
  <si>
    <t>Amundi Label Equilibre ESR</t>
  </si>
  <si>
    <t>European Multi Asset Income fund</t>
  </si>
  <si>
    <t>Groupama Equilibre</t>
  </si>
  <si>
    <t>Franklin Templeton</t>
  </si>
  <si>
    <t>COMGEST</t>
  </si>
  <si>
    <t>Europe Equity Growth</t>
  </si>
  <si>
    <t>Comgest Renaissance Europe</t>
  </si>
  <si>
    <t>Sustainable Eurozone Equity</t>
  </si>
  <si>
    <t>Echiquier Major SRI Growth Europe</t>
  </si>
  <si>
    <t>Lazard Equity SRI</t>
  </si>
  <si>
    <t>Pictet-Quest Europe Sustainable Equities</t>
  </si>
  <si>
    <t>European Stock Index</t>
  </si>
  <si>
    <t>Best Style Global</t>
  </si>
  <si>
    <t>Comgest Monde</t>
  </si>
  <si>
    <t>ECOFI Enjeux futurs</t>
  </si>
  <si>
    <t>Avenir Actions Monde</t>
  </si>
  <si>
    <t>Global Stock Index</t>
  </si>
  <si>
    <t>Actions Euro PME ETI</t>
  </si>
  <si>
    <t>Lazard Investissement PEA-PME</t>
  </si>
  <si>
    <t>SÉLECTION DNCA ACTIONS EURO PME - I</t>
  </si>
  <si>
    <t>Target Fund 2035</t>
  </si>
  <si>
    <t>Lazard Horizon 2037-2039</t>
  </si>
  <si>
    <t>Avenir Retraite 2035-2039</t>
  </si>
  <si>
    <t>Pictet - Absolute Return Fixed Income - HI</t>
  </si>
  <si>
    <t>Global Bond Index Fund</t>
  </si>
  <si>
    <t>ECOFI Agir pour le climat</t>
  </si>
  <si>
    <t>FF Sustainable Water &amp; Waste</t>
  </si>
  <si>
    <t>Templeton Global Climate Change Fund</t>
  </si>
  <si>
    <t>Lazard Global Green Bond Opportunities</t>
  </si>
  <si>
    <t>SÉLECTION MIROVA ACTIONS INTERNATIONALES - I (C) EUR</t>
  </si>
  <si>
    <t>Pictet-Clean Energy Transition-I EUR</t>
  </si>
  <si>
    <t>FIGV</t>
  </si>
  <si>
    <t xml:space="preserve">Fidelity Funds - Sustainable Demographics Fund </t>
  </si>
  <si>
    <t>Lazard Human Capital</t>
  </si>
  <si>
    <t>Natixis ES Monétaire</t>
  </si>
  <si>
    <t/>
  </si>
  <si>
    <t>Oui</t>
  </si>
  <si>
    <t>Non</t>
  </si>
  <si>
    <t>Euro Cash</t>
  </si>
  <si>
    <t>HSBC EE Horizon 2034-2036 (F)</t>
  </si>
  <si>
    <t>HSBC Euro PME (IC)</t>
  </si>
  <si>
    <t>GROUPAMA GLOBAL ACTIVE EQUITY (ex-G Fund - World Vision R)</t>
  </si>
  <si>
    <t>HSBC RIF SRI Global Equity (IC)</t>
  </si>
  <si>
    <t>GROUPAMA EURO ACTIVE EQUITY (ex-G Fund Equity Conviction ISR)</t>
  </si>
  <si>
    <t xml:space="preserve">HSBC GIF Euroland Value (IC) </t>
  </si>
  <si>
    <t>HSBC EE Equilibre (F)</t>
  </si>
  <si>
    <t>HSBC GIF Euro Bond Total Return (IC)</t>
  </si>
  <si>
    <t>HSBC GIF Euro Bond (IC)</t>
  </si>
  <si>
    <t xml:space="preserve">Non </t>
  </si>
  <si>
    <t>Perf. Totale depuis 01/08</t>
  </si>
  <si>
    <t>Volatilité annualisée 10 ans</t>
  </si>
  <si>
    <t>Max Drawdown 10 ans</t>
  </si>
  <si>
    <t>Volatilité annualisée 5 ans</t>
  </si>
  <si>
    <t>Max Drawdown 5 ans</t>
  </si>
  <si>
    <t>Volatilité annualisée 3 ans</t>
  </si>
  <si>
    <t>Max Drawdown 3 ans</t>
  </si>
  <si>
    <t>Couple Rendement Risque 3 ans</t>
  </si>
  <si>
    <t>Volatilité annualisée 1 an</t>
  </si>
  <si>
    <t>Max Drawdown 1 an</t>
  </si>
  <si>
    <t>Performance annualisée depuis 01/08</t>
  </si>
  <si>
    <t>Crédit Mutuel Asset Management</t>
  </si>
  <si>
    <t>OPCVM</t>
  </si>
  <si>
    <t>Article SFDR (6,8 ou 9)</t>
  </si>
  <si>
    <t>label ISR (oui/non)</t>
  </si>
  <si>
    <t>label Finansol (oui/non)</t>
  </si>
  <si>
    <t>label Greenfin (oui/non)</t>
  </si>
  <si>
    <t>label CIES (oui/non)</t>
  </si>
  <si>
    <t>label France Relance (oui/non)</t>
  </si>
  <si>
    <t>Strategic Bond</t>
  </si>
  <si>
    <t>CM-AM Avenir Équilibre</t>
  </si>
  <si>
    <t>Social Active Actions</t>
  </si>
  <si>
    <t>CM-AM Perspective Conviction Monde</t>
  </si>
  <si>
    <t>SIENNA ACTIONS PME-ETI - FS-C</t>
  </si>
  <si>
    <t>SIENNA ACTIONS EMPLOI RETRAITE SOLIDAIRE - I-C</t>
  </si>
  <si>
    <t>DIVERSIFIE PRUDENT</t>
  </si>
  <si>
    <t>DIVERSIFIE FLEXIBLE</t>
  </si>
  <si>
    <t>DIVERSIFIE EQUILIBRE 50/50</t>
  </si>
  <si>
    <t>ACTIONS PEA PME</t>
  </si>
  <si>
    <t>ERES GESTION</t>
  </si>
  <si>
    <t>Sienna IM</t>
  </si>
  <si>
    <t xml:space="preserve">Carmignac Pf Sécurité FW EUR Acc </t>
  </si>
  <si>
    <t>Carmignac Pf Flexible Bond F EUR Acc</t>
  </si>
  <si>
    <t>DNCA Invest Alpha Bonds</t>
  </si>
  <si>
    <t>Franklin European Total Return</t>
  </si>
  <si>
    <t>Carmignac Pf Patrimoine F EUR Acc</t>
  </si>
  <si>
    <t>CM-AM Avenir Tempéré</t>
  </si>
  <si>
    <t>DNCA Invest Eurose</t>
  </si>
  <si>
    <t>ERES SELECTION MODERE - H</t>
  </si>
  <si>
    <t>Echiquier Arty SRI</t>
  </si>
  <si>
    <t>Avenir Rendement</t>
  </si>
  <si>
    <t>SIENNA PERFORMANCE ABSOLUE DEFENSIF FS-C</t>
  </si>
  <si>
    <t>ERES SELECTION MOYEN TERME - H</t>
  </si>
  <si>
    <t>Avenir Equilibre</t>
  </si>
  <si>
    <t>Robeco Sustainable Diversified Allocation</t>
  </si>
  <si>
    <t>MH EPARGNE DIVERSIFIE EQUILIBRE SOLIDAIRE A</t>
  </si>
  <si>
    <t>Amundi Opportunités ESR</t>
  </si>
  <si>
    <t>Carmignac Investissement Latitude F</t>
  </si>
  <si>
    <t>CM-AM Avenir Dynamique</t>
  </si>
  <si>
    <t>DNCA Invest Evolutif</t>
  </si>
  <si>
    <t>ERES DNCA FLEXIBLE ET EVOLUTIF - H</t>
  </si>
  <si>
    <t>Global Multi Asset Income</t>
  </si>
  <si>
    <t>Global Fundamental Strategies</t>
  </si>
  <si>
    <t>GROUPAMA CONVICTIONS (ex-Groupama Selection ISR Convictions)</t>
  </si>
  <si>
    <t>Lazard Patrimoine Opportunities SRI</t>
  </si>
  <si>
    <t>Echiquier Patrimoine</t>
  </si>
  <si>
    <t>Avenir Diversifié (ex Avenir mixte solidaire)</t>
  </si>
  <si>
    <t>Multi Asset Global Opportunities - I</t>
  </si>
  <si>
    <t>SIENNA DIVERSIFIE FLEXIBLE MONDE - FS-C</t>
  </si>
  <si>
    <t>Amundi Label Actions Euroland ESR</t>
  </si>
  <si>
    <t>Carmignac Pf Grande Europe F EUR Acc</t>
  </si>
  <si>
    <t>CM-AM Convictions Euro</t>
  </si>
  <si>
    <t>ERES ECHIQUIER ACTIONS - H</t>
  </si>
  <si>
    <t>Avenir Actions Europe</t>
  </si>
  <si>
    <t>Amundi Funds Global Equity I2 EUR</t>
  </si>
  <si>
    <t>Carmignac Pf Investissement F EUR Acc</t>
  </si>
  <si>
    <t>Franklin Mutual Global Discovery</t>
  </si>
  <si>
    <t>SIENNA ACTIONS INTERNATIONALES FS-C</t>
  </si>
  <si>
    <t>Amundi Actions Euro Mid Cap ESR</t>
  </si>
  <si>
    <t>ERES SELECTION PME - H</t>
  </si>
  <si>
    <t>oui sur maitre</t>
  </si>
  <si>
    <t>AMUNDI FUNDS GLOBAL EQUITY RESPONSIBLE - I2 EUR</t>
  </si>
  <si>
    <t>ERES SELECT ISR ENVIRONNEMENT</t>
  </si>
  <si>
    <t>Robeco Smart Energy Equities</t>
  </si>
  <si>
    <t>SIENNA ACTIONS BAS CARBONE I-C</t>
  </si>
  <si>
    <t xml:space="preserve">oui </t>
  </si>
  <si>
    <t xml:space="preserve">non </t>
  </si>
  <si>
    <t>AMUNDI FUNDS US PIONEER FUND - I2 EUR</t>
  </si>
  <si>
    <t>CM-AM Perspective Global Gold</t>
  </si>
  <si>
    <t>ERES ENJEUX TECHNOLOGIQUES &amp; IA</t>
  </si>
  <si>
    <t>FF Global Technology</t>
  </si>
  <si>
    <t>Franklin Technology</t>
  </si>
  <si>
    <t>Tocqueville Europe Strategic Tech ISR GP</t>
  </si>
  <si>
    <t>SELECTION LOOMIS ACTIONS US I</t>
  </si>
  <si>
    <t>Pictet-Digital-I EUR</t>
  </si>
  <si>
    <t>Robeco Circular Economy</t>
  </si>
  <si>
    <t>SIENNA ACTIONS EURO SOUVERAINETE FS-C</t>
  </si>
  <si>
    <t>Sicav</t>
  </si>
  <si>
    <t>Article 8</t>
  </si>
  <si>
    <t>ERES SELECTION MONETAIRE - H</t>
  </si>
  <si>
    <t>SIENNA MONETAIRE - I-C</t>
  </si>
  <si>
    <t>ECOFI EURO AGGREGATE 3-5 ANS - C</t>
  </si>
  <si>
    <t>ERES SELECTION COURT TERME - H</t>
  </si>
  <si>
    <t>GROUPAMA EURO CREDIT SHORT DURATION (ex-Groupama Credit Euro CT)</t>
  </si>
  <si>
    <t>SIENNA SOUVERAINS 3-5 - Part FS-C</t>
  </si>
  <si>
    <t>ERES SCHELCHER OBLIGATIONS - H</t>
  </si>
  <si>
    <t>GROUPAMA GLOBAL BOND (ex-G Fund Global Bonds)</t>
  </si>
  <si>
    <t xml:space="preserve">ROBECO CREDIT INCOME </t>
  </si>
  <si>
    <t>SIENNA OBLIGATIONS MULTI STRAT - FS-C</t>
  </si>
  <si>
    <t>Multipar BNP Paribas Horizon Prudent</t>
  </si>
  <si>
    <t>Multipar Solidaire Equilibre Socialement Responsable</t>
  </si>
  <si>
    <t xml:space="preserve">Multipar Global Patrimoine </t>
  </si>
  <si>
    <t>Multipar Actions Socialement Responsable  </t>
  </si>
  <si>
    <t>Templeton European Insights Fund</t>
  </si>
  <si>
    <t>SIENNA ACTIONS EURO - FS-C</t>
  </si>
  <si>
    <t xml:space="preserve">Multipar BNP Paribas Horizon Long Terme </t>
  </si>
  <si>
    <t>ERES CARMIGNAC INVESTISSEMENT - H</t>
  </si>
  <si>
    <t xml:space="preserve">Global Equity Income ESG </t>
  </si>
  <si>
    <t>Pictet Security</t>
  </si>
  <si>
    <t xml:space="preserve">Multipar Actions PME ETI ISR </t>
  </si>
  <si>
    <t>Echiquier Entrepreneurs G</t>
  </si>
  <si>
    <t xml:space="preserve">Multipar BNP Paribas Horizon 2034-2036 </t>
  </si>
  <si>
    <t>Multipar Solutions Environnement</t>
  </si>
  <si>
    <t>DNCA Invest Sustain Climate</t>
  </si>
  <si>
    <t>Article 9</t>
  </si>
  <si>
    <t>Pictet-Longevity-I EUR</t>
  </si>
  <si>
    <t>Fonds thématique autre</t>
  </si>
  <si>
    <t>Carmignac Portfolio Tech Solution</t>
  </si>
  <si>
    <t>Lazard Sovereignty Europe</t>
  </si>
  <si>
    <t>il y avait une ligne caché, à revoir les données collées ici.</t>
  </si>
  <si>
    <t>Actions Euro Innovation</t>
  </si>
  <si>
    <t>AXA</t>
  </si>
  <si>
    <t>AXA WF Europe Equity Capitalisation EUR</t>
  </si>
  <si>
    <t>HSBC GIF</t>
  </si>
  <si>
    <t>AXA IM Global Equity QI A EUR</t>
  </si>
  <si>
    <t>Candriam</t>
  </si>
  <si>
    <t>Candriam Sustainable Equity World</t>
  </si>
  <si>
    <t>UCITS</t>
  </si>
  <si>
    <t>HSBC RIF</t>
  </si>
  <si>
    <t>AXA WF Ex-Uk Europe MicroCap A pf EUR</t>
  </si>
  <si>
    <t>CM-AM Stratégie PME-ETI</t>
  </si>
  <si>
    <t>HSBC GAM</t>
  </si>
  <si>
    <t>Génération Equilibre 2 EUR</t>
  </si>
  <si>
    <t>AXA WF Optimal Income I EUR</t>
  </si>
  <si>
    <t>Candriam L Multi-Asset Income &amp; Growth</t>
  </si>
  <si>
    <t>Candriam L Conservative Asset Allocation</t>
  </si>
  <si>
    <t>AXA Pension 2036 - 2038 I EUR</t>
  </si>
  <si>
    <t>Candriam Bonds Euro Corporate 2036</t>
  </si>
  <si>
    <t>Candriam Equities L Biotechnology</t>
  </si>
  <si>
    <t>AXA WF ACT Clean E,ergy A EUR</t>
  </si>
  <si>
    <t>CM-AM Stratégie actions Carbon Impact</t>
  </si>
  <si>
    <t>HSBC RIF Europe Equity Green Solutions (IC)</t>
  </si>
  <si>
    <t>AXA WF ACT Social Progress I EUR</t>
  </si>
  <si>
    <t xml:space="preserve">Sélection Mirova Thematic Emploi Solidaire - I (C) EUR </t>
  </si>
  <si>
    <t>oui 
(fonds maître)</t>
  </si>
  <si>
    <t>Capital Monétaire 2 EUR</t>
  </si>
  <si>
    <t>Candriam Monétaire SICAV</t>
  </si>
  <si>
    <t>AXA WF Euro Strategic Bonds I EUR</t>
  </si>
  <si>
    <t>Candriam Bonds Euro</t>
  </si>
  <si>
    <t>CM-AM Stratégie Obligations Carbon Impact</t>
  </si>
  <si>
    <t>AXA WF Global Strategic Bonds I (H) EUR</t>
  </si>
  <si>
    <t>Candriam Bonds Credit Opportunities</t>
  </si>
  <si>
    <t>Lazard Euro Short Duration Income Opportunities SR</t>
  </si>
  <si>
    <t>Strategy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</si>
</sst>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%"/>
    <numFmt numFmtId="166" formatCode="[$-40C]d\ mmmm\ yyyy;@"/>
    <numFmt numFmtId="167" formatCode="dd/mm/yy;@"/>
    <numFmt numFmtId="168" formatCode="[$-40C]d\-mmm\-yy;@"/>
    <numFmt numFmtId="169" formatCode="_ * #,##0.00_)\ _€_ ;_ * \(#,##0.00\)\ _€_ ;_ * &quot;-&quot;??_)\ _€_ ;_ @_ "/>
    <numFmt numFmtId="170" formatCode="_ * #,##0.00_)\ &quot;€&quot;_ ;_ * \(#,##0.00\)\ &quot;€&quot;_ ;_ * &quot;-&quot;??_)\ &quot;€&quot;_ ;_ @_ "/>
    <numFmt numFmtId="171" formatCode="0.0"/>
    <numFmt numFmtId="172" formatCode="_ * #,##0.0_)\ _€_ ;_ * \(#,##0.0\)\ _€_ ;_ * &quot;-&quot;??_)\ _€_ ;_ @_ 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Calibri"/>
      <family val="2"/>
    </font>
    <font>
      <i/>
      <sz val="16"/>
      <color indexed="23"/>
      <name val="Calibri"/>
      <family val="2"/>
    </font>
    <font>
      <sz val="16"/>
      <color indexed="23"/>
      <name val="Calibri"/>
      <family val="2"/>
    </font>
    <font>
      <b/>
      <sz val="16"/>
      <color indexed="23"/>
      <name val="Calibri"/>
      <family val="2"/>
    </font>
    <font>
      <sz val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i/>
      <sz val="16"/>
      <color rgb="FFDD0806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name val="Calibri"/>
      <family val="2"/>
      <scheme val="minor"/>
    </font>
    <font>
      <b/>
      <i/>
      <sz val="16"/>
      <color rgb="FFDD0806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6"/>
      <color rgb="FFC00000"/>
      <name val="Calibri"/>
      <family val="2"/>
    </font>
    <font>
      <b/>
      <sz val="12"/>
      <color rgb="FFCF1D28"/>
      <name val="Calibri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lightUp">
        <bgColor theme="2" tint="-0.499984740745262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C80912"/>
      </top>
      <bottom style="thin">
        <color rgb="FFC8091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07">
    <xf numFmtId="0" fontId="0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2" fillId="5" borderId="0">
      <protection locked="0"/>
    </xf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0" fillId="2" borderId="0" xfId="0" applyFill="1" applyProtection="1">
      <protection locked="0"/>
    </xf>
    <xf numFmtId="166" fontId="14" fillId="4" borderId="0" xfId="0" applyNumberFormat="1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165" fontId="0" fillId="2" borderId="0" xfId="0" applyNumberFormat="1" applyFill="1" applyProtection="1">
      <protection locked="0"/>
    </xf>
    <xf numFmtId="0" fontId="15" fillId="2" borderId="0" xfId="0" applyFont="1" applyFill="1" applyAlignment="1" applyProtection="1">
      <alignment horizontal="left"/>
      <protection locked="0"/>
    </xf>
    <xf numFmtId="0" fontId="0" fillId="2" borderId="0" xfId="0" applyFill="1" applyAlignment="1">
      <alignment vertical="center"/>
    </xf>
    <xf numFmtId="0" fontId="12" fillId="3" borderId="0" xfId="0" applyFont="1" applyFill="1" applyAlignment="1" applyProtection="1">
      <alignment vertical="center"/>
      <protection locked="0"/>
    </xf>
    <xf numFmtId="0" fontId="13" fillId="3" borderId="0" xfId="0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5" fontId="0" fillId="0" borderId="0" xfId="2" applyNumberFormat="1" applyFont="1" applyFill="1" applyBorder="1" applyAlignment="1">
      <alignment horizontal="center" vertical="center"/>
    </xf>
    <xf numFmtId="164" fontId="0" fillId="0" borderId="0" xfId="1" applyFont="1" applyFill="1" applyBorder="1" applyAlignment="1">
      <alignment horizontal="center" vertical="center"/>
    </xf>
    <xf numFmtId="167" fontId="0" fillId="0" borderId="0" xfId="1" applyNumberFormat="1" applyFont="1" applyFill="1" applyBorder="1" applyAlignment="1">
      <alignment horizontal="center" vertical="center"/>
    </xf>
    <xf numFmtId="0" fontId="9" fillId="3" borderId="0" xfId="0" applyFont="1" applyFill="1" applyAlignment="1" applyProtection="1">
      <alignment horizontal="left" vertical="center"/>
      <protection locked="0"/>
    </xf>
    <xf numFmtId="0" fontId="16" fillId="3" borderId="0" xfId="0" applyFont="1" applyFill="1" applyAlignment="1" applyProtection="1">
      <alignment vertical="center"/>
      <protection locked="0"/>
    </xf>
    <xf numFmtId="0" fontId="21" fillId="3" borderId="0" xfId="0" applyFont="1" applyFill="1" applyAlignment="1" applyProtection="1">
      <alignment horizontal="left" vertical="center"/>
      <protection locked="0"/>
    </xf>
    <xf numFmtId="168" fontId="21" fillId="3" borderId="0" xfId="0" applyNumberFormat="1" applyFont="1" applyFill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>
      <alignment horizontal="center" vertical="center"/>
    </xf>
    <xf numFmtId="165" fontId="14" fillId="4" borderId="0" xfId="0" applyNumberFormat="1" applyFont="1" applyFill="1" applyAlignment="1" applyProtection="1">
      <alignment horizontal="center"/>
      <protection locked="0"/>
    </xf>
    <xf numFmtId="2" fontId="19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2" fontId="0" fillId="0" borderId="0" xfId="1" applyNumberFormat="1" applyFont="1" applyFill="1" applyBorder="1" applyAlignment="1">
      <alignment horizontal="center" vertical="center"/>
    </xf>
    <xf numFmtId="2" fontId="0" fillId="2" borderId="0" xfId="0" applyNumberFormat="1" applyFill="1" applyProtection="1">
      <protection locked="0"/>
    </xf>
    <xf numFmtId="164" fontId="0" fillId="0" borderId="0" xfId="1" applyFont="1" applyFill="1" applyAlignment="1">
      <alignment horizontal="center" vertical="center"/>
    </xf>
    <xf numFmtId="1" fontId="0" fillId="0" borderId="0" xfId="1" applyNumberFormat="1" applyFont="1" applyFill="1" applyBorder="1" applyAlignment="1">
      <alignment horizontal="center" vertical="center"/>
    </xf>
    <xf numFmtId="10" fontId="0" fillId="2" borderId="0" xfId="0" applyNumberFormat="1" applyFill="1" applyProtection="1">
      <protection locked="0"/>
    </xf>
    <xf numFmtId="10" fontId="2" fillId="0" borderId="0" xfId="2" applyNumberFormat="1" applyFont="1" applyFill="1" applyBorder="1" applyAlignment="1">
      <alignment horizontal="center" vertical="center"/>
    </xf>
    <xf numFmtId="14" fontId="0" fillId="0" borderId="0" xfId="1" applyNumberFormat="1" applyFont="1" applyFill="1" applyBorder="1" applyAlignment="1">
      <alignment horizontal="center" vertical="center"/>
    </xf>
    <xf numFmtId="10" fontId="0" fillId="0" borderId="0" xfId="2" applyNumberFormat="1" applyFont="1" applyFill="1" applyBorder="1" applyAlignment="1">
      <alignment horizontal="center" vertical="center"/>
    </xf>
    <xf numFmtId="0" fontId="0" fillId="0" borderId="0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 applyProtection="1">
      <alignment horizontal="center" vertical="center"/>
    </xf>
    <xf numFmtId="0" fontId="0" fillId="0" borderId="0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5" fontId="1" fillId="2" borderId="2" xfId="2" applyNumberFormat="1" applyFont="1" applyFill="1" applyBorder="1" applyAlignment="1" applyProtection="1">
      <alignment horizontal="center" vertical="center"/>
    </xf>
    <xf numFmtId="164" fontId="1" fillId="2" borderId="2" xfId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171" fontId="2" fillId="0" borderId="0" xfId="1" applyNumberFormat="1" applyFont="1" applyFill="1" applyBorder="1" applyAlignment="1">
      <alignment horizontal="center" vertical="center"/>
    </xf>
    <xf numFmtId="171" fontId="1" fillId="2" borderId="2" xfId="1" applyNumberFormat="1" applyFont="1" applyFill="1" applyBorder="1" applyAlignment="1" applyProtection="1">
      <alignment horizontal="center" vertical="center"/>
    </xf>
    <xf numFmtId="165" fontId="2" fillId="0" borderId="0" xfId="588" applyNumberFormat="1" applyFont="1" applyFill="1" applyBorder="1" applyAlignment="1">
      <alignment horizontal="center" vertical="center"/>
    </xf>
    <xf numFmtId="171" fontId="0" fillId="0" borderId="0" xfId="1" applyNumberFormat="1" applyFont="1" applyFill="1" applyBorder="1" applyAlignment="1">
      <alignment horizontal="center" vertical="center"/>
    </xf>
    <xf numFmtId="0" fontId="2" fillId="0" borderId="1" xfId="598" applyBorder="1" applyAlignment="1">
      <alignment horizontal="center" vertical="center" wrapText="1"/>
    </xf>
    <xf numFmtId="0" fontId="2" fillId="0" borderId="1" xfId="598" applyBorder="1" applyAlignment="1" applyProtection="1">
      <alignment horizontal="center" vertical="center" wrapText="1"/>
      <protection locked="0"/>
    </xf>
    <xf numFmtId="0" fontId="0" fillId="0" borderId="0" xfId="1" applyNumberFormat="1" applyFont="1" applyFill="1" applyAlignment="1">
      <alignment horizontal="center" vertical="center"/>
    </xf>
    <xf numFmtId="10" fontId="0" fillId="0" borderId="0" xfId="1" applyNumberFormat="1" applyFont="1" applyFill="1" applyBorder="1" applyAlignment="1">
      <alignment horizontal="center" vertical="center"/>
    </xf>
    <xf numFmtId="10" fontId="0" fillId="0" borderId="0" xfId="0" applyNumberFormat="1" applyAlignment="1">
      <alignment vertical="center"/>
    </xf>
    <xf numFmtId="10" fontId="0" fillId="0" borderId="0" xfId="1" applyNumberFormat="1" applyFont="1" applyFill="1" applyAlignment="1">
      <alignment horizontal="center" vertical="center"/>
    </xf>
    <xf numFmtId="165" fontId="2" fillId="0" borderId="0" xfId="2" applyNumberFormat="1" applyFont="1" applyFill="1" applyBorder="1" applyAlignment="1">
      <alignment horizontal="left" vertical="center" indent="1"/>
    </xf>
    <xf numFmtId="165" fontId="2" fillId="0" borderId="0" xfId="588" applyNumberFormat="1" applyFont="1" applyFill="1" applyBorder="1" applyAlignment="1">
      <alignment horizontal="left" vertical="center" indent="1"/>
    </xf>
    <xf numFmtId="165" fontId="0" fillId="0" borderId="0" xfId="2" applyNumberFormat="1" applyFont="1" applyFill="1" applyBorder="1" applyAlignment="1">
      <alignment horizontal="left" vertical="center" indent="1"/>
    </xf>
    <xf numFmtId="165" fontId="0" fillId="0" borderId="0" xfId="1" applyNumberFormat="1" applyFont="1" applyFill="1" applyBorder="1" applyAlignment="1">
      <alignment horizontal="left" vertical="center" indent="1"/>
    </xf>
    <xf numFmtId="172" fontId="2" fillId="0" borderId="0" xfId="1" applyNumberFormat="1" applyFont="1" applyFill="1" applyBorder="1" applyAlignment="1">
      <alignment horizontal="left" vertical="center" indent="1"/>
    </xf>
    <xf numFmtId="172" fontId="0" fillId="0" borderId="0" xfId="1" applyNumberFormat="1" applyFont="1" applyFill="1" applyBorder="1" applyAlignment="1">
      <alignment horizontal="left" vertical="center" indent="1"/>
    </xf>
    <xf numFmtId="172" fontId="2" fillId="0" borderId="0" xfId="1" applyNumberFormat="1" applyFont="1" applyFill="1" applyBorder="1" applyAlignment="1">
      <alignment horizontal="center" vertical="center"/>
    </xf>
    <xf numFmtId="172" fontId="0" fillId="0" borderId="0" xfId="1" applyNumberFormat="1" applyFont="1" applyFill="1" applyBorder="1" applyAlignment="1">
      <alignment horizontal="center" vertical="center"/>
    </xf>
    <xf numFmtId="165" fontId="0" fillId="0" borderId="0" xfId="588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2" fillId="3" borderId="0" xfId="0" applyFont="1" applyFill="1" applyAlignment="1" applyProtection="1">
      <alignment horizontal="center" vertical="center"/>
      <protection locked="0"/>
    </xf>
    <xf numFmtId="164" fontId="0" fillId="2" borderId="0" xfId="1" applyFont="1" applyFill="1" applyAlignment="1">
      <alignment vertical="center"/>
    </xf>
    <xf numFmtId="0" fontId="0" fillId="2" borderId="0" xfId="1" applyNumberFormat="1" applyFont="1" applyFill="1" applyBorder="1" applyAlignment="1">
      <alignment vertical="center"/>
    </xf>
    <xf numFmtId="172" fontId="19" fillId="0" borderId="0" xfId="1" applyNumberFormat="1" applyFont="1" applyFill="1" applyBorder="1" applyAlignment="1">
      <alignment horizontal="center" vertical="center"/>
    </xf>
    <xf numFmtId="1" fontId="12" fillId="3" borderId="0" xfId="0" applyNumberFormat="1" applyFont="1" applyFill="1" applyAlignment="1" applyProtection="1">
      <alignment vertical="center"/>
      <protection locked="0"/>
    </xf>
    <xf numFmtId="1" fontId="14" fillId="4" borderId="0" xfId="0" applyNumberFormat="1" applyFont="1" applyFill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center" vertical="center" wrapText="1"/>
      <protection locked="0"/>
    </xf>
    <xf numFmtId="1" fontId="1" fillId="2" borderId="2" xfId="2" applyNumberFormat="1" applyFont="1" applyFill="1" applyBorder="1" applyAlignment="1" applyProtection="1">
      <alignment horizontal="center" vertical="center"/>
    </xf>
    <xf numFmtId="1" fontId="0" fillId="2" borderId="0" xfId="0" applyNumberFormat="1" applyFill="1" applyProtection="1">
      <protection locked="0"/>
    </xf>
  </cellXfs>
  <cellStyles count="607">
    <cellStyle name="Comma 2" xfId="591" xr:uid="{80C025C6-C614-4351-80B5-538828415AEF}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" xfId="309" builtinId="8" hidden="1"/>
    <cellStyle name="Lien hypertexte" xfId="311" builtinId="8" hidden="1"/>
    <cellStyle name="Lien hypertexte" xfId="313" builtinId="8" hidden="1"/>
    <cellStyle name="Lien hypertexte" xfId="315" builtinId="8" hidden="1"/>
    <cellStyle name="Lien hypertexte" xfId="317" builtinId="8" hidden="1"/>
    <cellStyle name="Lien hypertexte" xfId="319" builtinId="8" hidden="1"/>
    <cellStyle name="Lien hypertexte" xfId="321" builtinId="8" hidden="1"/>
    <cellStyle name="Lien hypertexte" xfId="323" builtinId="8" hidden="1"/>
    <cellStyle name="Lien hypertexte" xfId="325" builtinId="8" hidden="1"/>
    <cellStyle name="Lien hypertexte" xfId="327" builtinId="8" hidden="1"/>
    <cellStyle name="Lien hypertexte" xfId="329" builtinId="8" hidden="1"/>
    <cellStyle name="Lien hypertexte" xfId="331" builtinId="8" hidden="1"/>
    <cellStyle name="Lien hypertexte" xfId="333" builtinId="8" hidden="1"/>
    <cellStyle name="Lien hypertexte" xfId="335" builtinId="8" hidden="1"/>
    <cellStyle name="Lien hypertexte" xfId="337" builtinId="8" hidden="1"/>
    <cellStyle name="Lien hypertexte" xfId="339" builtinId="8" hidden="1"/>
    <cellStyle name="Lien hypertexte" xfId="341" builtinId="8" hidden="1"/>
    <cellStyle name="Lien hypertexte" xfId="343" builtinId="8" hidden="1"/>
    <cellStyle name="Lien hypertexte" xfId="345" builtinId="8" hidden="1"/>
    <cellStyle name="Lien hypertexte" xfId="347" builtinId="8" hidden="1"/>
    <cellStyle name="Lien hypertexte" xfId="349" builtinId="8" hidden="1"/>
    <cellStyle name="Lien hypertexte" xfId="351" builtinId="8" hidden="1"/>
    <cellStyle name="Lien hypertexte" xfId="353" builtinId="8" hidden="1"/>
    <cellStyle name="Lien hypertexte" xfId="355" builtinId="8" hidden="1"/>
    <cellStyle name="Lien hypertexte" xfId="357" builtinId="8" hidden="1"/>
    <cellStyle name="Lien hypertexte" xfId="359" builtinId="8" hidden="1"/>
    <cellStyle name="Lien hypertexte" xfId="361" builtinId="8" hidden="1"/>
    <cellStyle name="Lien hypertexte" xfId="363" builtinId="8" hidden="1"/>
    <cellStyle name="Lien hypertexte" xfId="365" builtinId="8" hidden="1"/>
    <cellStyle name="Lien hypertexte" xfId="367" builtinId="8" hidden="1"/>
    <cellStyle name="Lien hypertexte" xfId="369" builtinId="8" hidden="1"/>
    <cellStyle name="Lien hypertexte" xfId="371" builtinId="8" hidden="1"/>
    <cellStyle name="Lien hypertexte" xfId="373" builtinId="8" hidden="1"/>
    <cellStyle name="Lien hypertexte" xfId="375" builtinId="8" hidden="1"/>
    <cellStyle name="Lien hypertexte" xfId="377" builtinId="8" hidden="1"/>
    <cellStyle name="Lien hypertexte" xfId="379" builtinId="8" hidden="1"/>
    <cellStyle name="Lien hypertexte" xfId="381" builtinId="8" hidden="1"/>
    <cellStyle name="Lien hypertexte" xfId="383" builtinId="8" hidden="1"/>
    <cellStyle name="Lien hypertexte" xfId="385" builtinId="8" hidden="1"/>
    <cellStyle name="Lien hypertexte" xfId="388" builtinId="8" hidden="1"/>
    <cellStyle name="Lien hypertexte" xfId="390" builtinId="8" hidden="1"/>
    <cellStyle name="Lien hypertexte" xfId="392" builtinId="8" hidden="1"/>
    <cellStyle name="Lien hypertexte" xfId="394" builtinId="8" hidden="1"/>
    <cellStyle name="Lien hypertexte" xfId="396" builtinId="8" hidden="1"/>
    <cellStyle name="Lien hypertexte" xfId="398" builtinId="8" hidden="1"/>
    <cellStyle name="Lien hypertexte" xfId="400" builtinId="8" hidden="1"/>
    <cellStyle name="Lien hypertexte" xfId="402" builtinId="8" hidden="1"/>
    <cellStyle name="Lien hypertexte" xfId="404" builtinId="8" hidden="1"/>
    <cellStyle name="Lien hypertexte" xfId="406" builtinId="8" hidden="1"/>
    <cellStyle name="Lien hypertexte" xfId="408" builtinId="8" hidden="1"/>
    <cellStyle name="Lien hypertexte" xfId="410" builtinId="8" hidden="1"/>
    <cellStyle name="Lien hypertexte" xfId="412" builtinId="8" hidden="1"/>
    <cellStyle name="Lien hypertexte" xfId="414" builtinId="8" hidden="1"/>
    <cellStyle name="Lien hypertexte" xfId="416" builtinId="8" hidden="1"/>
    <cellStyle name="Lien hypertexte" xfId="418" builtinId="8" hidden="1"/>
    <cellStyle name="Lien hypertexte" xfId="420" builtinId="8" hidden="1"/>
    <cellStyle name="Lien hypertexte" xfId="422" builtinId="8" hidden="1"/>
    <cellStyle name="Lien hypertexte" xfId="424" builtinId="8" hidden="1"/>
    <cellStyle name="Lien hypertexte" xfId="426" builtinId="8" hidden="1"/>
    <cellStyle name="Lien hypertexte" xfId="428" builtinId="8" hidden="1"/>
    <cellStyle name="Lien hypertexte" xfId="430" builtinId="8" hidden="1"/>
    <cellStyle name="Lien hypertexte" xfId="432" builtinId="8" hidden="1"/>
    <cellStyle name="Lien hypertexte" xfId="434" builtinId="8" hidden="1"/>
    <cellStyle name="Lien hypertexte" xfId="436" builtinId="8" hidden="1"/>
    <cellStyle name="Lien hypertexte" xfId="438" builtinId="8" hidden="1"/>
    <cellStyle name="Lien hypertexte" xfId="440" builtinId="8" hidden="1"/>
    <cellStyle name="Lien hypertexte" xfId="442" builtinId="8" hidden="1"/>
    <cellStyle name="Lien hypertexte" xfId="444" builtinId="8" hidden="1"/>
    <cellStyle name="Lien hypertexte" xfId="446" builtinId="8" hidden="1"/>
    <cellStyle name="Lien hypertexte" xfId="448" builtinId="8" hidden="1"/>
    <cellStyle name="Lien hypertexte" xfId="450" builtinId="8" hidden="1"/>
    <cellStyle name="Lien hypertexte" xfId="452" builtinId="8" hidden="1"/>
    <cellStyle name="Lien hypertexte" xfId="454" builtinId="8" hidden="1"/>
    <cellStyle name="Lien hypertexte" xfId="456" builtinId="8" hidden="1"/>
    <cellStyle name="Lien hypertexte" xfId="458" builtinId="8" hidden="1"/>
    <cellStyle name="Lien hypertexte" xfId="460" builtinId="8" hidden="1"/>
    <cellStyle name="Lien hypertexte" xfId="462" builtinId="8" hidden="1"/>
    <cellStyle name="Lien hypertexte" xfId="464" builtinId="8" hidden="1"/>
    <cellStyle name="Lien hypertexte" xfId="466" builtinId="8" hidden="1"/>
    <cellStyle name="Lien hypertexte" xfId="468" builtinId="8" hidden="1"/>
    <cellStyle name="Lien hypertexte" xfId="470" builtinId="8" hidden="1"/>
    <cellStyle name="Lien hypertexte" xfId="472" builtinId="8" hidden="1"/>
    <cellStyle name="Lien hypertexte" xfId="474" builtinId="8" hidden="1"/>
    <cellStyle name="Lien hypertexte" xfId="476" builtinId="8" hidden="1"/>
    <cellStyle name="Lien hypertexte" xfId="478" builtinId="8" hidden="1"/>
    <cellStyle name="Lien hypertexte" xfId="480" builtinId="8" hidden="1"/>
    <cellStyle name="Lien hypertexte" xfId="482" builtinId="8" hidden="1"/>
    <cellStyle name="Lien hypertexte" xfId="484" builtinId="8" hidden="1"/>
    <cellStyle name="Lien hypertexte" xfId="486" builtinId="8" hidden="1"/>
    <cellStyle name="Lien hypertexte" xfId="488" builtinId="8" hidden="1"/>
    <cellStyle name="Lien hypertexte" xfId="490" builtinId="8" hidden="1"/>
    <cellStyle name="Lien hypertexte" xfId="492" builtinId="8" hidden="1"/>
    <cellStyle name="Lien hypertexte" xfId="494" builtinId="8" hidden="1"/>
    <cellStyle name="Lien hypertexte" xfId="496" builtinId="8" hidden="1"/>
    <cellStyle name="Lien hypertexte" xfId="498" builtinId="8" hidden="1"/>
    <cellStyle name="Lien hypertexte" xfId="500" builtinId="8" hidden="1"/>
    <cellStyle name="Lien hypertexte" xfId="502" builtinId="8" hidden="1"/>
    <cellStyle name="Lien hypertexte" xfId="504" builtinId="8" hidden="1"/>
    <cellStyle name="Lien hypertexte" xfId="506" builtinId="8" hidden="1"/>
    <cellStyle name="Lien hypertexte" xfId="508" builtinId="8" hidden="1"/>
    <cellStyle name="Lien hypertexte" xfId="510" builtinId="8" hidden="1"/>
    <cellStyle name="Lien hypertexte" xfId="512" builtinId="8" hidden="1"/>
    <cellStyle name="Lien hypertexte" xfId="514" builtinId="8" hidden="1"/>
    <cellStyle name="Lien hypertexte" xfId="516" builtinId="8" hidden="1"/>
    <cellStyle name="Lien hypertexte" xfId="518" builtinId="8" hidden="1"/>
    <cellStyle name="Lien hypertexte" xfId="520" builtinId="8" hidden="1"/>
    <cellStyle name="Lien hypertexte" xfId="522" builtinId="8" hidden="1"/>
    <cellStyle name="Lien hypertexte" xfId="524" builtinId="8" hidden="1"/>
    <cellStyle name="Lien hypertexte" xfId="526" builtinId="8" hidden="1"/>
    <cellStyle name="Lien hypertexte" xfId="528" builtinId="8" hidden="1"/>
    <cellStyle name="Lien hypertexte" xfId="530" builtinId="8" hidden="1"/>
    <cellStyle name="Lien hypertexte" xfId="532" builtinId="8" hidden="1"/>
    <cellStyle name="Lien hypertexte" xfId="534" builtinId="8" hidden="1"/>
    <cellStyle name="Lien hypertexte" xfId="536" builtinId="8" hidden="1"/>
    <cellStyle name="Lien hypertexte" xfId="538" builtinId="8" hidden="1"/>
    <cellStyle name="Lien hypertexte" xfId="540" builtinId="8" hidden="1"/>
    <cellStyle name="Lien hypertexte" xfId="542" builtinId="8" hidden="1"/>
    <cellStyle name="Lien hypertexte" xfId="544" builtinId="8" hidden="1"/>
    <cellStyle name="Lien hypertexte" xfId="546" builtinId="8" hidden="1"/>
    <cellStyle name="Lien hypertexte" xfId="548" builtinId="8" hidden="1"/>
    <cellStyle name="Lien hypertexte" xfId="550" builtinId="8" hidden="1"/>
    <cellStyle name="Lien hypertexte" xfId="552" builtinId="8" hidden="1"/>
    <cellStyle name="Lien hypertexte" xfId="554" builtinId="8" hidden="1"/>
    <cellStyle name="Lien hypertexte" xfId="556" builtinId="8" hidden="1"/>
    <cellStyle name="Lien hypertexte" xfId="558" builtinId="8" hidden="1"/>
    <cellStyle name="Lien hypertexte" xfId="560" builtinId="8" hidden="1"/>
    <cellStyle name="Lien hypertexte" xfId="562" builtinId="8" hidden="1"/>
    <cellStyle name="Lien hypertexte" xfId="564" builtinId="8" hidden="1"/>
    <cellStyle name="Lien hypertexte" xfId="566" builtinId="8" hidden="1"/>
    <cellStyle name="Lien hypertexte" xfId="568" builtinId="8" hidden="1"/>
    <cellStyle name="Lien hypertexte" xfId="570" builtinId="8" hidden="1"/>
    <cellStyle name="Lien hypertexte" xfId="572" builtinId="8" hidden="1"/>
    <cellStyle name="Lien hypertexte" xfId="574" builtinId="8" hidden="1"/>
    <cellStyle name="Lien hypertexte" xfId="576" builtinId="8" hidden="1"/>
    <cellStyle name="Lien hypertexte" xfId="578" builtinId="8" hidden="1"/>
    <cellStyle name="Lien hypertexte" xfId="580" builtinId="8" hidden="1"/>
    <cellStyle name="Lien hypertexte" xfId="582" builtinId="8" hidden="1"/>
    <cellStyle name="Lien hypertexte" xfId="584" builtinId="8" hidden="1"/>
    <cellStyle name="Lien hypertexte" xfId="586" builtinId="8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Lien hypertexte visité" xfId="310" builtinId="9" hidden="1"/>
    <cellStyle name="Lien hypertexte visité" xfId="312" builtinId="9" hidden="1"/>
    <cellStyle name="Lien hypertexte visité" xfId="314" builtinId="9" hidden="1"/>
    <cellStyle name="Lien hypertexte visité" xfId="316" builtinId="9" hidden="1"/>
    <cellStyle name="Lien hypertexte visité" xfId="318" builtinId="9" hidden="1"/>
    <cellStyle name="Lien hypertexte visité" xfId="320" builtinId="9" hidden="1"/>
    <cellStyle name="Lien hypertexte visité" xfId="322" builtinId="9" hidden="1"/>
    <cellStyle name="Lien hypertexte visité" xfId="324" builtinId="9" hidden="1"/>
    <cellStyle name="Lien hypertexte visité" xfId="326" builtinId="9" hidden="1"/>
    <cellStyle name="Lien hypertexte visité" xfId="328" builtinId="9" hidden="1"/>
    <cellStyle name="Lien hypertexte visité" xfId="330" builtinId="9" hidden="1"/>
    <cellStyle name="Lien hypertexte visité" xfId="332" builtinId="9" hidden="1"/>
    <cellStyle name="Lien hypertexte visité" xfId="334" builtinId="9" hidden="1"/>
    <cellStyle name="Lien hypertexte visité" xfId="336" builtinId="9" hidden="1"/>
    <cellStyle name="Lien hypertexte visité" xfId="338" builtinId="9" hidden="1"/>
    <cellStyle name="Lien hypertexte visité" xfId="340" builtinId="9" hidden="1"/>
    <cellStyle name="Lien hypertexte visité" xfId="342" builtinId="9" hidden="1"/>
    <cellStyle name="Lien hypertexte visité" xfId="344" builtinId="9" hidden="1"/>
    <cellStyle name="Lien hypertexte visité" xfId="346" builtinId="9" hidden="1"/>
    <cellStyle name="Lien hypertexte visité" xfId="348" builtinId="9" hidden="1"/>
    <cellStyle name="Lien hypertexte visité" xfId="350" builtinId="9" hidden="1"/>
    <cellStyle name="Lien hypertexte visité" xfId="352" builtinId="9" hidden="1"/>
    <cellStyle name="Lien hypertexte visité" xfId="354" builtinId="9" hidden="1"/>
    <cellStyle name="Lien hypertexte visité" xfId="356" builtinId="9" hidden="1"/>
    <cellStyle name="Lien hypertexte visité" xfId="358" builtinId="9" hidden="1"/>
    <cellStyle name="Lien hypertexte visité" xfId="360" builtinId="9" hidden="1"/>
    <cellStyle name="Lien hypertexte visité" xfId="362" builtinId="9" hidden="1"/>
    <cellStyle name="Lien hypertexte visité" xfId="364" builtinId="9" hidden="1"/>
    <cellStyle name="Lien hypertexte visité" xfId="366" builtinId="9" hidden="1"/>
    <cellStyle name="Lien hypertexte visité" xfId="368" builtinId="9" hidden="1"/>
    <cellStyle name="Lien hypertexte visité" xfId="370" builtinId="9" hidden="1"/>
    <cellStyle name="Lien hypertexte visité" xfId="372" builtinId="9" hidden="1"/>
    <cellStyle name="Lien hypertexte visité" xfId="374" builtinId="9" hidden="1"/>
    <cellStyle name="Lien hypertexte visité" xfId="376" builtinId="9" hidden="1"/>
    <cellStyle name="Lien hypertexte visité" xfId="378" builtinId="9" hidden="1"/>
    <cellStyle name="Lien hypertexte visité" xfId="380" builtinId="9" hidden="1"/>
    <cellStyle name="Lien hypertexte visité" xfId="382" builtinId="9" hidden="1"/>
    <cellStyle name="Lien hypertexte visité" xfId="384" builtinId="9" hidden="1"/>
    <cellStyle name="Lien hypertexte visité" xfId="386" builtinId="9" hidden="1"/>
    <cellStyle name="Lien hypertexte visité" xfId="389" builtinId="9" hidden="1"/>
    <cellStyle name="Lien hypertexte visité" xfId="391" builtinId="9" hidden="1"/>
    <cellStyle name="Lien hypertexte visité" xfId="393" builtinId="9" hidden="1"/>
    <cellStyle name="Lien hypertexte visité" xfId="395" builtinId="9" hidden="1"/>
    <cellStyle name="Lien hypertexte visité" xfId="397" builtinId="9" hidden="1"/>
    <cellStyle name="Lien hypertexte visité" xfId="399" builtinId="9" hidden="1"/>
    <cellStyle name="Lien hypertexte visité" xfId="401" builtinId="9" hidden="1"/>
    <cellStyle name="Lien hypertexte visité" xfId="403" builtinId="9" hidden="1"/>
    <cellStyle name="Lien hypertexte visité" xfId="405" builtinId="9" hidden="1"/>
    <cellStyle name="Lien hypertexte visité" xfId="407" builtinId="9" hidden="1"/>
    <cellStyle name="Lien hypertexte visité" xfId="409" builtinId="9" hidden="1"/>
    <cellStyle name="Lien hypertexte visité" xfId="411" builtinId="9" hidden="1"/>
    <cellStyle name="Lien hypertexte visité" xfId="413" builtinId="9" hidden="1"/>
    <cellStyle name="Lien hypertexte visité" xfId="415" builtinId="9" hidden="1"/>
    <cellStyle name="Lien hypertexte visité" xfId="417" builtinId="9" hidden="1"/>
    <cellStyle name="Lien hypertexte visité" xfId="419" builtinId="9" hidden="1"/>
    <cellStyle name="Lien hypertexte visité" xfId="421" builtinId="9" hidden="1"/>
    <cellStyle name="Lien hypertexte visité" xfId="423" builtinId="9" hidden="1"/>
    <cellStyle name="Lien hypertexte visité" xfId="425" builtinId="9" hidden="1"/>
    <cellStyle name="Lien hypertexte visité" xfId="427" builtinId="9" hidden="1"/>
    <cellStyle name="Lien hypertexte visité" xfId="429" builtinId="9" hidden="1"/>
    <cellStyle name="Lien hypertexte visité" xfId="431" builtinId="9" hidden="1"/>
    <cellStyle name="Lien hypertexte visité" xfId="433" builtinId="9" hidden="1"/>
    <cellStyle name="Lien hypertexte visité" xfId="435" builtinId="9" hidden="1"/>
    <cellStyle name="Lien hypertexte visité" xfId="437" builtinId="9" hidden="1"/>
    <cellStyle name="Lien hypertexte visité" xfId="439" builtinId="9" hidden="1"/>
    <cellStyle name="Lien hypertexte visité" xfId="441" builtinId="9" hidden="1"/>
    <cellStyle name="Lien hypertexte visité" xfId="443" builtinId="9" hidden="1"/>
    <cellStyle name="Lien hypertexte visité" xfId="445" builtinId="9" hidden="1"/>
    <cellStyle name="Lien hypertexte visité" xfId="447" builtinId="9" hidden="1"/>
    <cellStyle name="Lien hypertexte visité" xfId="449" builtinId="9" hidden="1"/>
    <cellStyle name="Lien hypertexte visité" xfId="451" builtinId="9" hidden="1"/>
    <cellStyle name="Lien hypertexte visité" xfId="453" builtinId="9" hidden="1"/>
    <cellStyle name="Lien hypertexte visité" xfId="455" builtinId="9" hidden="1"/>
    <cellStyle name="Lien hypertexte visité" xfId="457" builtinId="9" hidden="1"/>
    <cellStyle name="Lien hypertexte visité" xfId="459" builtinId="9" hidden="1"/>
    <cellStyle name="Lien hypertexte visité" xfId="461" builtinId="9" hidden="1"/>
    <cellStyle name="Lien hypertexte visité" xfId="463" builtinId="9" hidden="1"/>
    <cellStyle name="Lien hypertexte visité" xfId="465" builtinId="9" hidden="1"/>
    <cellStyle name="Lien hypertexte visité" xfId="467" builtinId="9" hidden="1"/>
    <cellStyle name="Lien hypertexte visité" xfId="469" builtinId="9" hidden="1"/>
    <cellStyle name="Lien hypertexte visité" xfId="471" builtinId="9" hidden="1"/>
    <cellStyle name="Lien hypertexte visité" xfId="473" builtinId="9" hidden="1"/>
    <cellStyle name="Lien hypertexte visité" xfId="475" builtinId="9" hidden="1"/>
    <cellStyle name="Lien hypertexte visité" xfId="477" builtinId="9" hidden="1"/>
    <cellStyle name="Lien hypertexte visité" xfId="479" builtinId="9" hidden="1"/>
    <cellStyle name="Lien hypertexte visité" xfId="481" builtinId="9" hidden="1"/>
    <cellStyle name="Lien hypertexte visité" xfId="483" builtinId="9" hidden="1"/>
    <cellStyle name="Lien hypertexte visité" xfId="485" builtinId="9" hidden="1"/>
    <cellStyle name="Lien hypertexte visité" xfId="487" builtinId="9" hidden="1"/>
    <cellStyle name="Lien hypertexte visité" xfId="489" builtinId="9" hidden="1"/>
    <cellStyle name="Lien hypertexte visité" xfId="491" builtinId="9" hidden="1"/>
    <cellStyle name="Lien hypertexte visité" xfId="493" builtinId="9" hidden="1"/>
    <cellStyle name="Lien hypertexte visité" xfId="495" builtinId="9" hidden="1"/>
    <cellStyle name="Lien hypertexte visité" xfId="497" builtinId="9" hidden="1"/>
    <cellStyle name="Lien hypertexte visité" xfId="499" builtinId="9" hidden="1"/>
    <cellStyle name="Lien hypertexte visité" xfId="501" builtinId="9" hidden="1"/>
    <cellStyle name="Lien hypertexte visité" xfId="503" builtinId="9" hidden="1"/>
    <cellStyle name="Lien hypertexte visité" xfId="505" builtinId="9" hidden="1"/>
    <cellStyle name="Lien hypertexte visité" xfId="507" builtinId="9" hidden="1"/>
    <cellStyle name="Lien hypertexte visité" xfId="509" builtinId="9" hidden="1"/>
    <cellStyle name="Lien hypertexte visité" xfId="511" builtinId="9" hidden="1"/>
    <cellStyle name="Lien hypertexte visité" xfId="513" builtinId="9" hidden="1"/>
    <cellStyle name="Lien hypertexte visité" xfId="515" builtinId="9" hidden="1"/>
    <cellStyle name="Lien hypertexte visité" xfId="517" builtinId="9" hidden="1"/>
    <cellStyle name="Lien hypertexte visité" xfId="519" builtinId="9" hidden="1"/>
    <cellStyle name="Lien hypertexte visité" xfId="521" builtinId="9" hidden="1"/>
    <cellStyle name="Lien hypertexte visité" xfId="523" builtinId="9" hidden="1"/>
    <cellStyle name="Lien hypertexte visité" xfId="525" builtinId="9" hidden="1"/>
    <cellStyle name="Lien hypertexte visité" xfId="527" builtinId="9" hidden="1"/>
    <cellStyle name="Lien hypertexte visité" xfId="529" builtinId="9" hidden="1"/>
    <cellStyle name="Lien hypertexte visité" xfId="531" builtinId="9" hidden="1"/>
    <cellStyle name="Lien hypertexte visité" xfId="533" builtinId="9" hidden="1"/>
    <cellStyle name="Lien hypertexte visité" xfId="535" builtinId="9" hidden="1"/>
    <cellStyle name="Lien hypertexte visité" xfId="537" builtinId="9" hidden="1"/>
    <cellStyle name="Lien hypertexte visité" xfId="539" builtinId="9" hidden="1"/>
    <cellStyle name="Lien hypertexte visité" xfId="541" builtinId="9" hidden="1"/>
    <cellStyle name="Lien hypertexte visité" xfId="543" builtinId="9" hidden="1"/>
    <cellStyle name="Lien hypertexte visité" xfId="545" builtinId="9" hidden="1"/>
    <cellStyle name="Lien hypertexte visité" xfId="547" builtinId="9" hidden="1"/>
    <cellStyle name="Lien hypertexte visité" xfId="549" builtinId="9" hidden="1"/>
    <cellStyle name="Lien hypertexte visité" xfId="551" builtinId="9" hidden="1"/>
    <cellStyle name="Lien hypertexte visité" xfId="553" builtinId="9" hidden="1"/>
    <cellStyle name="Lien hypertexte visité" xfId="555" builtinId="9" hidden="1"/>
    <cellStyle name="Lien hypertexte visité" xfId="557" builtinId="9" hidden="1"/>
    <cellStyle name="Lien hypertexte visité" xfId="559" builtinId="9" hidden="1"/>
    <cellStyle name="Lien hypertexte visité" xfId="561" builtinId="9" hidden="1"/>
    <cellStyle name="Lien hypertexte visité" xfId="563" builtinId="9" hidden="1"/>
    <cellStyle name="Lien hypertexte visité" xfId="565" builtinId="9" hidden="1"/>
    <cellStyle name="Lien hypertexte visité" xfId="567" builtinId="9" hidden="1"/>
    <cellStyle name="Lien hypertexte visité" xfId="569" builtinId="9" hidden="1"/>
    <cellStyle name="Lien hypertexte visité" xfId="571" builtinId="9" hidden="1"/>
    <cellStyle name="Lien hypertexte visité" xfId="573" builtinId="9" hidden="1"/>
    <cellStyle name="Lien hypertexte visité" xfId="575" builtinId="9" hidden="1"/>
    <cellStyle name="Lien hypertexte visité" xfId="577" builtinId="9" hidden="1"/>
    <cellStyle name="Lien hypertexte visité" xfId="579" builtinId="9" hidden="1"/>
    <cellStyle name="Lien hypertexte visité" xfId="581" builtinId="9" hidden="1"/>
    <cellStyle name="Lien hypertexte visité" xfId="583" builtinId="9" hidden="1"/>
    <cellStyle name="Lien hypertexte visité" xfId="585" builtinId="9" hidden="1"/>
    <cellStyle name="Lien hypertexte visité" xfId="587" builtinId="9" hidden="1"/>
    <cellStyle name="Milliers" xfId="1" builtinId="3"/>
    <cellStyle name="Milliers 2" xfId="590" xr:uid="{01D4D6FE-42BA-407F-8E2D-849B4193B87A}"/>
    <cellStyle name="Milliers 2 2" xfId="606" xr:uid="{5D7C7571-B776-4FE7-BC54-652B5E1607E5}"/>
    <cellStyle name="Milliers 3" xfId="592" xr:uid="{7505EC15-9AAF-4EEA-9237-891566BE0C21}"/>
    <cellStyle name="Monétaire 2" xfId="595" xr:uid="{13FD93A5-2613-42BE-B3A0-F1BC7AF6EEB3}"/>
    <cellStyle name="Monétaire 2 2" xfId="599" xr:uid="{17D53DCB-F936-411A-B261-2714A7E7484C}"/>
    <cellStyle name="Monétaire 3" xfId="597" xr:uid="{19AC412B-66EE-45E0-A05C-3EA7ED8B9053}"/>
    <cellStyle name="Monétaire 4" xfId="593" xr:uid="{FCB157F4-5598-46EE-A2DF-ACC21427DE2A}"/>
    <cellStyle name="Normal" xfId="0" builtinId="0"/>
    <cellStyle name="Normal 2" xfId="594" xr:uid="{F414EDA2-DB12-45BA-A038-A5CA63090B94}"/>
    <cellStyle name="Normal 2 2" xfId="598" xr:uid="{DA6DA4D4-5397-479B-93DB-E48C47A01C65}"/>
    <cellStyle name="Normal 2 2 2" xfId="603" xr:uid="{F03AC46E-491F-4650-AF91-779AB46FC3BD}"/>
    <cellStyle name="Normal 3" xfId="596" xr:uid="{94E819BF-92D9-4A62-A52D-5CBC5B62C41A}"/>
    <cellStyle name="Normal 4" xfId="600" xr:uid="{AA3588B1-2D65-436E-A634-71B47F18EF4B}"/>
    <cellStyle name="Normal 5" xfId="387" xr:uid="{00000000-0005-0000-0000-00004A020000}"/>
    <cellStyle name="Normal 5 2" xfId="604" xr:uid="{4C1700E1-F05A-44AC-BFB8-DD26EC344078}"/>
    <cellStyle name="Normal 7" xfId="602" xr:uid="{928D2ACD-76C1-457E-96AE-CDDA9F3C581C}"/>
    <cellStyle name="Percent 2" xfId="589" xr:uid="{896C9CEC-FFD1-463C-9F8B-0D026C2922E3}"/>
    <cellStyle name="Pourcentage" xfId="2" builtinId="5"/>
    <cellStyle name="Pourcentage 2" xfId="588" xr:uid="{C83FA1A6-6BF1-4A40-8E21-DA7F82EE6D4E}"/>
    <cellStyle name="Pourcentage 2 2" xfId="605" xr:uid="{6DF9477F-E91F-4E41-BF1B-B35EB1CA23D0}"/>
    <cellStyle name="Style 1" xfId="601" xr:uid="{C4681EE8-C67A-4F9F-9C95-039AEA5E77BF}"/>
  </cellStyles>
  <dxfs count="39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2" formatCode="0.0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  <numFmt numFmtId="2" formatCode="0.0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  <numFmt numFmtId="2" formatCode="0.00"/>
    </dxf>
    <dxf>
      <font>
        <b val="0"/>
      </font>
    </dxf>
    <dxf>
      <font>
        <b val="0"/>
      </font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2" formatCode="0.0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protection locked="0" hidden="0"/>
    </dxf>
    <dxf>
      <fill>
        <patternFill patternType="solid">
          <fgColor indexed="64"/>
          <bgColor theme="0"/>
        </patternFill>
      </fill>
      <protection locked="0" hidden="0"/>
    </dxf>
    <dxf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2" formatCode="0.0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  <numFmt numFmtId="2" formatCode="0.0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  <numFmt numFmtId="2" formatCode="0.00"/>
    </dxf>
    <dxf>
      <font>
        <b val="0"/>
      </font>
    </dxf>
    <dxf>
      <font>
        <b val="0"/>
      </font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2" formatCode="0.0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71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5" formatCode="0.0%"/>
    </dxf>
    <dxf>
      <numFmt numFmtId="165" formatCode="0.0%"/>
    </dxf>
    <dxf>
      <numFmt numFmtId="165" formatCode="0.0%"/>
    </dxf>
    <dxf>
      <numFmt numFmtId="165" formatCode="0.0%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2" formatCode="_ * #,##0.0_)\ _€_ ;_ * \(#,##0.0\)\ _€_ ;_ * &quot;-&quot;??_)\ _€_ ;_ @_ 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72" formatCode="_ * #,##0.0_)\ _€_ ;_ * \(#,##0.0\)\ _€_ ;_ * &quot;-&quot;??_)\ _€_ ;_ @_ 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72" formatCode="_ * #,##0.0_)\ _€_ ;_ * \(#,##0.0\)\ _€_ ;_ * &quot;-&quot;??_)\ _€_ ;_ @_ 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2" formatCode="_ * #,##0.0_)\ _€_ ;_ * \(#,##0.0\)\ _€_ ;_ * &quot;-&quot;??_)\ _€_ ;_ @_ 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2" formatCode="_ * #,##0.0_)\ _€_ ;_ * \(#,##0.0\)\ _€_ ;_ * &quot;-&quot;??_)\ _€_ ;_ @_ 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72" formatCode="_ * #,##0.0_)\ _€_ ;_ * \(#,##0.0\)\ _€_ ;_ * &quot;-&quot;??_)\ _€_ ;_ @_ 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72" formatCode="_ * #,##0.0_)\ _€_ ;_ * \(#,##0.0\)\ _€_ ;_ * &quot;-&quot;??_)\ _€_ ;_ @_ 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2" formatCode="_ * #,##0.0_)\ _€_ ;_ * \(#,##0.0\)\ _€_ ;_ * &quot;-&quot;??_)\ _€_ ;_ @_ 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72" formatCode="_ * #,##0.0_)\ _€_ ;_ * \(#,##0.0\)\ _€_ ;_ * &quot;-&quot;??_)\ _€_ ;_ @_ 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ont>
        <color theme="0"/>
      </font>
      <fill>
        <patternFill patternType="solid">
          <fgColor indexed="64"/>
          <bgColor rgb="FF808080"/>
        </patternFill>
      </fill>
    </dxf>
  </dxfs>
  <tableStyles count="3" defaultTableStyle="TableStyleMedium2" defaultPivotStyle="PivotStyleLight16">
    <tableStyle name="Résultats Observatoire" pivot="0" count="2" xr9:uid="{00000000-0011-0000-FFFF-FFFF00000000}">
      <tableStyleElement type="headerRow" dxfId="396"/>
      <tableStyleElement type="firstRowStripe" dxfId="395"/>
    </tableStyle>
    <tableStyle name="Style de tableau 1" pivot="0" count="2" xr9:uid="{00000000-0011-0000-FFFF-FFFF01000000}">
      <tableStyleElement type="firstRowStripe" dxfId="394"/>
      <tableStyleElement type="secondRowStripe" dxfId="393"/>
    </tableStyle>
    <tableStyle name="Style de tableau 2" pivot="0" count="2" xr9:uid="{00000000-0011-0000-FFFF-FFFF02000000}">
      <tableStyleElement type="firstRowStripe" dxfId="392"/>
      <tableStyleElement type="secondRowStripe" dxfId="391"/>
    </tableStyle>
  </tableStyles>
  <colors>
    <mruColors>
      <color rgb="FFCF1D28"/>
      <color rgb="FF00800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0000000}" name="Table11" displayName="Table11" ref="A3:AE13" totalsRowShown="0">
  <autoFilter ref="A3:AE13" xr:uid="{00000000-0009-0000-0100-00000B000000}"/>
  <sortState xmlns:xlrd2="http://schemas.microsoft.com/office/spreadsheetml/2017/richdata2" ref="A4:AE13">
    <sortCondition ref="A3:A13"/>
  </sortState>
  <tableColumns count="31">
    <tableColumn id="1" xr3:uid="{00000000-0010-0000-0000-000001000000}" name="Société"/>
    <tableColumn id="2" xr3:uid="{00000000-0010-0000-0000-000002000000}" name="Nom du fonds"/>
    <tableColumn id="3" xr3:uid="{00000000-0010-0000-0000-000003000000}" name="Performance annualisée depuis 01/08" dataDxfId="359"/>
    <tableColumn id="4" xr3:uid="{00000000-0010-0000-0000-000004000000}" name="Perf. Totale depuis 01/08" dataDxfId="358"/>
    <tableColumn id="5" xr3:uid="{00000000-0010-0000-0000-000005000000}" name="Volatilité annualisée depuis 01/08" dataDxfId="357"/>
    <tableColumn id="6" xr3:uid="{00000000-0010-0000-0000-000006000000}" name="Max Drawdown depuis 01/08" dataDxfId="356"/>
    <tableColumn id="7" xr3:uid="{00000000-0010-0000-0000-000007000000}" name="Couple Rendement / Risque depuis 01/08" dataDxfId="355"/>
    <tableColumn id="27" xr3:uid="{C8DB1570-3F48-4284-A196-8D3D528420FB}" name="Performance annualisée 10 ans" dataDxfId="354" dataCellStyle="Pourcentage"/>
    <tableColumn id="28" xr3:uid="{34F9B09B-33A4-40D8-9A73-036F1F1E1822}" name="Volatilité annualisée 10 ans" dataDxfId="353" dataCellStyle="Pourcentage"/>
    <tableColumn id="29" xr3:uid="{4C403E67-8C92-4D9F-8160-F0FD01F3EE43}" name="Max Drawdown 10 ans" dataDxfId="352" dataCellStyle="Pourcentage"/>
    <tableColumn id="30" xr3:uid="{EE17C067-047A-4428-A309-2355AC4BC4A3}" name="Couple Rendement Risque 10 ans" dataDxfId="351" dataCellStyle="Milliers"/>
    <tableColumn id="8" xr3:uid="{00000000-0010-0000-0000-000008000000}" name="Performance annualisée 5 ans" dataDxfId="350"/>
    <tableColumn id="9" xr3:uid="{00000000-0010-0000-0000-000009000000}" name="Volatilité annualisée 5 ans" dataDxfId="349"/>
    <tableColumn id="10" xr3:uid="{00000000-0010-0000-0000-00000A000000}" name="Max Drawdown 5 ans" dataDxfId="348"/>
    <tableColumn id="11" xr3:uid="{00000000-0010-0000-0000-00000B000000}" name="Couple Rendement Risque 5 ans" dataDxfId="347"/>
    <tableColumn id="12" xr3:uid="{00000000-0010-0000-0000-00000C000000}" name="Performance annualisée 3 ans" dataDxfId="346"/>
    <tableColumn id="13" xr3:uid="{00000000-0010-0000-0000-00000D000000}" name="Volatilité annualisée 3 ans" dataDxfId="345"/>
    <tableColumn id="14" xr3:uid="{00000000-0010-0000-0000-00000E000000}" name="Max Drawdown 3 ans" dataDxfId="344"/>
    <tableColumn id="15" xr3:uid="{00000000-0010-0000-0000-00000F000000}" name="Couple Rendement Risque 3 ans" dataDxfId="343"/>
    <tableColumn id="16" xr3:uid="{00000000-0010-0000-0000-000010000000}" name="Performance annualisée 1 an" dataDxfId="342"/>
    <tableColumn id="17" xr3:uid="{00000000-0010-0000-0000-000011000000}" name="Volatilité annualisée 1 an" dataDxfId="341"/>
    <tableColumn id="18" xr3:uid="{00000000-0010-0000-0000-000012000000}" name="Max Drawdown 1 an" dataDxfId="340"/>
    <tableColumn id="19" xr3:uid="{00000000-0010-0000-0000-000013000000}" name="Couple Rendement Risque 1 an" dataDxfId="339"/>
    <tableColumn id="20" xr3:uid="{00000000-0010-0000-0000-000014000000}" name="Date de recommandation du fonds"/>
    <tableColumn id="21" xr3:uid="{00000000-0010-0000-0000-000015000000}" name="Article SFDR (6,8 ou 9)" dataDxfId="338" dataCellStyle="Milliers"/>
    <tableColumn id="24" xr3:uid="{226AEB91-F3B9-4DDE-8389-255FDA6455D2}" name="label ISR (oui/non)" dataDxfId="337" dataCellStyle="Milliers"/>
    <tableColumn id="26" xr3:uid="{579D2893-5F11-43A7-AA65-A2F1531EC087}" name="label Finansol (oui/non)" dataDxfId="336" dataCellStyle="Milliers"/>
    <tableColumn id="25" xr3:uid="{4A2B6FF6-E416-4161-819D-9803A306CA18}" name="label Greenfin (oui/non)" dataDxfId="335" dataCellStyle="Milliers"/>
    <tableColumn id="22" xr3:uid="{00000000-0010-0000-0000-000016000000}" name="label CIES (oui/non)" dataDxfId="334"/>
    <tableColumn id="23" xr3:uid="{00000000-0010-0000-0000-000017000000}" name="label France Relance (oui/non)" dataDxfId="333"/>
    <tableColumn id="31" xr3:uid="{F105A46F-644B-40B6-A0F2-42421B0668E5}" name="Type" dataDxfId="332" dataCellStyle="Milliers"/>
  </tableColumns>
  <tableStyleInfo name="Résultats Observatoir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1000000}" name="Table10" displayName="Table10" ref="A3:AE22" totalsRowShown="0">
  <autoFilter ref="A3:AE22" xr:uid="{00000000-0009-0000-0100-00000A000000}"/>
  <sortState xmlns:xlrd2="http://schemas.microsoft.com/office/spreadsheetml/2017/richdata2" ref="A4:AE22">
    <sortCondition ref="A3:A22"/>
  </sortState>
  <tableColumns count="31">
    <tableColumn id="1" xr3:uid="{00000000-0010-0000-0100-000001000000}" name="Société"/>
    <tableColumn id="2" xr3:uid="{00000000-0010-0000-0100-000002000000}" name="Nom du fonds"/>
    <tableColumn id="3" xr3:uid="{00000000-0010-0000-0100-000003000000}" name="Performance annualisée depuis 01/08" dataDxfId="331"/>
    <tableColumn id="4" xr3:uid="{00000000-0010-0000-0100-000004000000}" name="Perf. Totale depuis 01/08" dataDxfId="330"/>
    <tableColumn id="5" xr3:uid="{00000000-0010-0000-0100-000005000000}" name="Volatilité annualisée depuis 01/08" dataDxfId="329"/>
    <tableColumn id="6" xr3:uid="{00000000-0010-0000-0100-000006000000}" name="Max Drawdown depuis 01/08" dataDxfId="328"/>
    <tableColumn id="7" xr3:uid="{00000000-0010-0000-0100-000007000000}" name="Couple Rendement / Risque depuis 01/08" dataDxfId="327"/>
    <tableColumn id="27" xr3:uid="{19102580-40F6-41F2-B22B-C758FF61759C}" name="Performance annualisée 10 ans" dataDxfId="326" dataCellStyle="Pourcentage"/>
    <tableColumn id="28" xr3:uid="{15C9ABD1-D5AC-4A50-8E75-5ED8370A4BC8}" name="Volatilité annualisée 10 ans" dataDxfId="325" dataCellStyle="Pourcentage"/>
    <tableColumn id="29" xr3:uid="{16D0A07C-4CB6-4E60-9983-63DD28BB6332}" name="Max Drawdown 10 ans" dataDxfId="324" dataCellStyle="Pourcentage"/>
    <tableColumn id="30" xr3:uid="{43A491B2-45AD-41F1-B17C-EB566ECD2D20}" name="Couple Rendement Risque 10 ans" dataDxfId="323" dataCellStyle="Milliers"/>
    <tableColumn id="8" xr3:uid="{00000000-0010-0000-0100-000008000000}" name="Performance annualisée 5 ans" dataDxfId="322"/>
    <tableColumn id="9" xr3:uid="{00000000-0010-0000-0100-000009000000}" name="Volatilité annualisée 5 ans" dataDxfId="321"/>
    <tableColumn id="10" xr3:uid="{00000000-0010-0000-0100-00000A000000}" name="Max Drawdown 5 ans" dataDxfId="320"/>
    <tableColumn id="11" xr3:uid="{00000000-0010-0000-0100-00000B000000}" name="Couple Rendement Risque 5 ans" dataDxfId="319"/>
    <tableColumn id="12" xr3:uid="{00000000-0010-0000-0100-00000C000000}" name="Performance annualisée 3 ans" dataDxfId="318"/>
    <tableColumn id="13" xr3:uid="{00000000-0010-0000-0100-00000D000000}" name="Volatilité annualisée 3 ans" dataDxfId="317"/>
    <tableColumn id="14" xr3:uid="{00000000-0010-0000-0100-00000E000000}" name="Max Drawdown 3 ans" dataDxfId="316"/>
    <tableColumn id="15" xr3:uid="{00000000-0010-0000-0100-00000F000000}" name="Couple Rendement Risque 3 ans" dataDxfId="315"/>
    <tableColumn id="16" xr3:uid="{00000000-0010-0000-0100-000010000000}" name="Performance annualisée 1 an" dataDxfId="314"/>
    <tableColumn id="17" xr3:uid="{00000000-0010-0000-0100-000011000000}" name="Volatilité annualisée 1 an" dataDxfId="313"/>
    <tableColumn id="18" xr3:uid="{00000000-0010-0000-0100-000012000000}" name="Max Drawdown 1 an" dataDxfId="312"/>
    <tableColumn id="19" xr3:uid="{00000000-0010-0000-0100-000013000000}" name="Couple Rendement Risque 1 an" dataDxfId="311"/>
    <tableColumn id="20" xr3:uid="{00000000-0010-0000-0100-000014000000}" name="Date de recommandation du fonds"/>
    <tableColumn id="24" xr3:uid="{C859B55E-D02A-483B-B25B-DB6278133A9D}" name="Article SFDR (6,8 ou 9)" dataDxfId="310" dataCellStyle="Milliers"/>
    <tableColumn id="26" xr3:uid="{E3E823E7-A393-4BE7-8230-3A9A7B70F5E5}" name="label ISR (oui/non)" dataDxfId="309" dataCellStyle="Milliers"/>
    <tableColumn id="25" xr3:uid="{A1EF47FB-89D5-44D3-ABFF-C0C46D662E61}" name="label Finansol (oui/non)" dataDxfId="308" dataCellStyle="Milliers"/>
    <tableColumn id="22" xr3:uid="{00000000-0010-0000-0100-000016000000}" name="label Greenfin (oui/non)" dataDxfId="307" dataCellStyle="Milliers"/>
    <tableColumn id="23" xr3:uid="{00000000-0010-0000-0100-000017000000}" name="label CIES (oui/non)" dataDxfId="306"/>
    <tableColumn id="31" xr3:uid="{F515E1DB-EEC0-403C-86F3-FC60CE7547BD}" name="label France Relance (oui/non)" dataDxfId="305"/>
    <tableColumn id="32" xr3:uid="{94CF1068-14AD-4999-970A-FD84D0371AA2}" name="Type" dataDxfId="304"/>
  </tableColumns>
  <tableStyleInfo name="Résultats Observatoir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103" displayName="Table103" ref="A3:AE17" totalsRowShown="0">
  <autoFilter ref="A3:AE17" xr:uid="{00000000-0009-0000-0100-000002000000}"/>
  <sortState xmlns:xlrd2="http://schemas.microsoft.com/office/spreadsheetml/2017/richdata2" ref="A4:AE17">
    <sortCondition ref="A3:A17"/>
  </sortState>
  <tableColumns count="31">
    <tableColumn id="1" xr3:uid="{00000000-0010-0000-0200-000001000000}" name="Société"/>
    <tableColumn id="2" xr3:uid="{00000000-0010-0000-0200-000002000000}" name="Nom du fonds"/>
    <tableColumn id="3" xr3:uid="{00000000-0010-0000-0200-000003000000}" name="Performance annualisée depuis 01/08" dataDxfId="303"/>
    <tableColumn id="4" xr3:uid="{00000000-0010-0000-0200-000004000000}" name="Perf. Totale depuis 01/08" dataDxfId="302"/>
    <tableColumn id="5" xr3:uid="{00000000-0010-0000-0200-000005000000}" name="Volatilité annualisée depuis 01/08" dataDxfId="301"/>
    <tableColumn id="6" xr3:uid="{00000000-0010-0000-0200-000006000000}" name="Max Drawdown depuis 01/08" dataDxfId="300"/>
    <tableColumn id="7" xr3:uid="{00000000-0010-0000-0200-000007000000}" name="Couple Rendement / Risque depuis 01/08" dataDxfId="299" dataCellStyle="Milliers"/>
    <tableColumn id="27" xr3:uid="{7CCA36AF-7172-41C6-9D76-C50EEB663ECF}" name="Performance annualisée 10 ans" dataDxfId="298" dataCellStyle="Pourcentage"/>
    <tableColumn id="28" xr3:uid="{B0C70925-A42F-4E4D-AFE8-71B932D88676}" name="Volatilité annualisée 10 ans" dataDxfId="297" dataCellStyle="Pourcentage"/>
    <tableColumn id="29" xr3:uid="{88444871-F9BD-431F-93BC-881056819D0F}" name="Max Drawdown 10 ans" dataDxfId="296" dataCellStyle="Pourcentage"/>
    <tableColumn id="30" xr3:uid="{A478E01D-0E39-41D3-A9B0-C840297FAF0A}" name="Couple Rendement Risque 10 ans" dataDxfId="295" dataCellStyle="Milliers"/>
    <tableColumn id="8" xr3:uid="{00000000-0010-0000-0200-000008000000}" name="Performance annualisée 5 ans" dataDxfId="294"/>
    <tableColumn id="9" xr3:uid="{00000000-0010-0000-0200-000009000000}" name="Volatilité annualisée 5 ans" dataDxfId="293"/>
    <tableColumn id="10" xr3:uid="{00000000-0010-0000-0200-00000A000000}" name="Max Drawdown 5 ans" dataDxfId="292"/>
    <tableColumn id="11" xr3:uid="{00000000-0010-0000-0200-00000B000000}" name="Couple Rendement Risque 5 ans" dataDxfId="291" dataCellStyle="Milliers"/>
    <tableColumn id="12" xr3:uid="{00000000-0010-0000-0200-00000C000000}" name="Performance annualisée 3 ans" dataDxfId="290"/>
    <tableColumn id="13" xr3:uid="{00000000-0010-0000-0200-00000D000000}" name="Volatilité annualisée 3 ans" dataDxfId="289"/>
    <tableColumn id="14" xr3:uid="{00000000-0010-0000-0200-00000E000000}" name="Max Drawdown 3 ans" dataDxfId="288"/>
    <tableColumn id="15" xr3:uid="{00000000-0010-0000-0200-00000F000000}" name="Couple Rendement Risque 3 ans" dataDxfId="287" dataCellStyle="Milliers"/>
    <tableColumn id="16" xr3:uid="{00000000-0010-0000-0200-000010000000}" name="Performance annualisée 1 an" dataDxfId="286"/>
    <tableColumn id="17" xr3:uid="{00000000-0010-0000-0200-000011000000}" name="Volatilité annualisée 1 an" dataDxfId="285"/>
    <tableColumn id="18" xr3:uid="{00000000-0010-0000-0200-000012000000}" name="Max Drawdown 1 an" dataDxfId="284"/>
    <tableColumn id="19" xr3:uid="{00000000-0010-0000-0200-000013000000}" name="Couple Rendement Risque 1 an" dataDxfId="283" dataCellStyle="Milliers"/>
    <tableColumn id="20" xr3:uid="{00000000-0010-0000-0200-000014000000}" name="Date de recommandation du fonds"/>
    <tableColumn id="21" xr3:uid="{00000000-0010-0000-0200-000015000000}" name="Article SFDR (6,8 ou 9)" dataDxfId="282" dataCellStyle="Milliers"/>
    <tableColumn id="24" xr3:uid="{D8C4C7DD-5A56-494A-B481-7D2163AFB0C9}" name="label ISR (oui/non)" dataDxfId="281" dataCellStyle="Milliers"/>
    <tableColumn id="26" xr3:uid="{3E726AB6-BBFB-436C-971C-0350ACCA6D2B}" name="label Finansol (oui/non)" dataDxfId="280" dataCellStyle="Milliers"/>
    <tableColumn id="25" xr3:uid="{74264D28-F2D9-4C6C-AEB9-905E33F1FE38}" name="label Greenfin (oui/non)" dataDxfId="279" dataCellStyle="Milliers"/>
    <tableColumn id="22" xr3:uid="{00000000-0010-0000-0200-000016000000}" name="label CIES (oui/non)" dataDxfId="278"/>
    <tableColumn id="23" xr3:uid="{00000000-0010-0000-0200-000017000000}" name="label France Relance (oui/non)" dataDxfId="277"/>
    <tableColumn id="31" xr3:uid="{0729BF6F-3D24-4C91-91FA-FEF516491B06}" name="Type" dataDxfId="276"/>
  </tableColumns>
  <tableStyleInfo name="Résultats Observatoire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98B5740-0922-48BE-9A60-D295EDD9FE03}" name="Table915" displayName="Table915" ref="A3:AE13" totalsRowShown="0">
  <autoFilter ref="A3:AE13" xr:uid="{00000000-000C-0000-FFFF-FFFF04000000}"/>
  <sortState xmlns:xlrd2="http://schemas.microsoft.com/office/spreadsheetml/2017/richdata2" ref="A4:AE13">
    <sortCondition ref="A3:A13"/>
  </sortState>
  <tableColumns count="31">
    <tableColumn id="1" xr3:uid="{587BB7CE-E789-446F-94D3-E93DBF67E493}" name="Société" dataDxfId="275"/>
    <tableColumn id="2" xr3:uid="{80798120-E5A3-4CA4-AA30-9BB087F986AF}" name="Nom du fonds" dataDxfId="274"/>
    <tableColumn id="3" xr3:uid="{812A13D6-1FC0-4BAE-B441-D28497E933E7}" name="Performance annualisée depuis 01/08" dataDxfId="273" dataCellStyle="Pourcentage"/>
    <tableColumn id="4" xr3:uid="{53019F28-9876-4151-B5D9-A4B74A15D246}" name="Perf. Totale depuis 01/08" dataDxfId="272" dataCellStyle="Pourcentage"/>
    <tableColumn id="5" xr3:uid="{2957BF95-A8AC-417B-9F65-33212CA6D47C}" name="Volatilité annualisée depuis 01/08" dataDxfId="271" dataCellStyle="Pourcentage"/>
    <tableColumn id="6" xr3:uid="{3F081B13-3AFB-408C-A126-11C72480E2EC}" name="Max Drawdown depuis 01/08" dataDxfId="270" dataCellStyle="Pourcentage"/>
    <tableColumn id="7" xr3:uid="{CD0C30EB-A561-4B7E-A408-B80EBFAC7A43}" name="Couple Rendement / Risque depuis 01/08" dataDxfId="269" dataCellStyle="Milliers"/>
    <tableColumn id="33" xr3:uid="{65A51070-8BC3-4623-97BE-043D1A87C18F}" name="Performance annualisée 10 ans" dataDxfId="268" dataCellStyle="Milliers"/>
    <tableColumn id="34" xr3:uid="{887A238B-B2C4-42A2-B357-EC713CF0FFAD}" name="Volatilité annualisée 10 ans" dataDxfId="267" dataCellStyle="Pourcentage 2"/>
    <tableColumn id="35" xr3:uid="{C9B45D5C-B697-4D84-A001-4956364CBD11}" name="Max Drawdown 10 ans" dataDxfId="266" dataCellStyle="Milliers"/>
    <tableColumn id="36" xr3:uid="{5D0D8052-EB2D-4153-83AE-C22964CF70AE}" name="Couple Rendement Risque 10 ans" dataDxfId="265" dataCellStyle="Milliers"/>
    <tableColumn id="8" xr3:uid="{19CDCBAA-441A-4234-B534-FBC751E42103}" name="Performance annualisée 5 ans" dataDxfId="264" dataCellStyle="Pourcentage"/>
    <tableColumn id="9" xr3:uid="{CEE9F8B5-BB1E-4107-B54E-BCFFF233215D}" name="Volatilité annualisée 5 ans" dataDxfId="263" dataCellStyle="Pourcentage"/>
    <tableColumn id="10" xr3:uid="{DDBB5C2D-C5E4-49A1-AC91-1940CB532E2F}" name="Max Drawdown 5 ans" dataDxfId="262" dataCellStyle="Pourcentage"/>
    <tableColumn id="11" xr3:uid="{E1F47E56-58C5-4666-B9A1-A51496F516C9}" name="Couple Rendement Risque 5 ans" dataDxfId="261" dataCellStyle="Milliers"/>
    <tableColumn id="12" xr3:uid="{0E34D3F9-435B-4273-AC8E-841F6DD87129}" name="Performance annualisée 3 ans" dataDxfId="260" dataCellStyle="Pourcentage"/>
    <tableColumn id="13" xr3:uid="{17201341-1C23-4004-8A3F-50CF2D729570}" name="Volatilité annualisée 3 ans" dataDxfId="259" dataCellStyle="Pourcentage"/>
    <tableColumn id="14" xr3:uid="{23CB38A4-0888-4954-91B7-B3307E8BFF57}" name="Max Drawdown 3 ans" dataDxfId="258" dataCellStyle="Pourcentage"/>
    <tableColumn id="15" xr3:uid="{9C708367-D0EA-493C-87FD-3EADB6FF424F}" name="Couple Rendement Risque 3 ans" dataDxfId="257" dataCellStyle="Milliers"/>
    <tableColumn id="16" xr3:uid="{5F2A90DF-594D-4FCC-8790-B16B88F9A7DC}" name="Performance annualisée 1 an" dataDxfId="256" dataCellStyle="Pourcentage"/>
    <tableColumn id="17" xr3:uid="{2F060A5A-FA57-4611-8A61-DD553BAA27E8}" name="Volatilité annualisée 1 an" dataDxfId="255" dataCellStyle="Pourcentage"/>
    <tableColumn id="18" xr3:uid="{D1C2FAE1-008B-4B16-AB4F-7366D65EAC2B}" name="Max Drawdown 1 an" dataDxfId="254" dataCellStyle="Pourcentage"/>
    <tableColumn id="19" xr3:uid="{2F8672F3-A594-4449-A26F-C664A0574E13}" name="Couple Rendement Risque 1 an" dataDxfId="253" dataCellStyle="Milliers"/>
    <tableColumn id="20" xr3:uid="{07CFF76A-E813-4760-9293-96771EECA2B3}" name="Date de recommandation du fonds" dataDxfId="252" dataCellStyle="Milliers"/>
    <tableColumn id="30" xr3:uid="{1C9BAEE7-27CB-4EA6-B0C8-6A7390E09D45}" name="Article SFDR (6,8 ou 9)" dataDxfId="251" dataCellStyle="Milliers"/>
    <tableColumn id="32" xr3:uid="{DB5E7188-3B30-4541-BF5F-EA8CC083331F}" name="label ISR (oui/non)" dataDxfId="250" dataCellStyle="Milliers"/>
    <tableColumn id="31" xr3:uid="{304F9B42-E7EF-4EC6-A3C4-6EDC4DE3F0A0}" name="label Finansol (oui/non)" dataDxfId="249" dataCellStyle="Milliers"/>
    <tableColumn id="22" xr3:uid="{977F80B5-A63E-45D5-936E-F250F719DB75}" name="label Greenfin (oui/non)" dataDxfId="248" dataCellStyle="Milliers"/>
    <tableColumn id="23" xr3:uid="{C117A615-5801-4789-842C-F886694B5C1E}" name="label CIES (oui/non)" dataDxfId="247" dataCellStyle="Milliers"/>
    <tableColumn id="24" xr3:uid="{16B8B9D3-D265-4D72-9978-ECCD67D09497}" name="label France Relance (oui/non)" dataDxfId="246" dataCellStyle="Milliers"/>
    <tableColumn id="25" xr3:uid="{A19906DD-2854-49D9-AFAA-A09A90CD9087}" name="Type" dataDxfId="245" dataCellStyle="Milliers"/>
  </tableColumns>
  <tableStyleInfo name="Résultats Observatoire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le9" displayName="Table9" ref="A3:AE15" totalsRowShown="0">
  <autoFilter ref="A3:AE15" xr:uid="{00000000-000C-0000-FFFF-FFFF04000000}"/>
  <sortState xmlns:xlrd2="http://schemas.microsoft.com/office/spreadsheetml/2017/richdata2" ref="A4:AE15">
    <sortCondition ref="A3:A15"/>
  </sortState>
  <tableColumns count="31">
    <tableColumn id="1" xr3:uid="{00000000-0010-0000-0400-000001000000}" name="Société" dataDxfId="390"/>
    <tableColumn id="2" xr3:uid="{00000000-0010-0000-0400-000002000000}" name="Nom du fonds" dataDxfId="389"/>
    <tableColumn id="3" xr3:uid="{00000000-0010-0000-0400-000003000000}" name="Performance annualisée depuis 01/08" dataDxfId="388" dataCellStyle="Pourcentage"/>
    <tableColumn id="4" xr3:uid="{00000000-0010-0000-0400-000004000000}" name="Perf. Totale depuis 01/08" dataDxfId="387" dataCellStyle="Pourcentage"/>
    <tableColumn id="5" xr3:uid="{00000000-0010-0000-0400-000005000000}" name="Volatilité annualisée depuis 01/08" dataDxfId="386" dataCellStyle="Pourcentage"/>
    <tableColumn id="6" xr3:uid="{00000000-0010-0000-0400-000006000000}" name="Max Drawdown depuis 01/08" dataDxfId="385" dataCellStyle="Pourcentage"/>
    <tableColumn id="7" xr3:uid="{00000000-0010-0000-0400-000007000000}" name="Couple Rendement / Risque depuis 01/08" dataDxfId="384" dataCellStyle="Milliers"/>
    <tableColumn id="33" xr3:uid="{6BF3F9EB-6EAB-474F-AACC-C76F9A9DB758}" name="Performance annualisée 10 ans" dataDxfId="383" dataCellStyle="Milliers"/>
    <tableColumn id="34" xr3:uid="{2C81AF41-22B1-4DA7-A59F-3C5A278F7DE3}" name="Volatilité annualisée 10 ans" dataDxfId="382" dataCellStyle="Pourcentage 2"/>
    <tableColumn id="35" xr3:uid="{FA8EDDD2-495D-4B26-ADE4-8B1A4B4599CB}" name="Max Drawdown 10 ans" dataDxfId="381" dataCellStyle="Milliers"/>
    <tableColumn id="36" xr3:uid="{0122A0DA-07A9-4235-9A7F-B513DCC4DFEE}" name="Couple Rendement Risque 10 ans" dataDxfId="380" dataCellStyle="Milliers"/>
    <tableColumn id="8" xr3:uid="{00000000-0010-0000-0400-000008000000}" name="Performance annualisée 5 ans" dataDxfId="379" dataCellStyle="Pourcentage"/>
    <tableColumn id="9" xr3:uid="{00000000-0010-0000-0400-000009000000}" name="Volatilité annualisée 5 ans" dataDxfId="378" dataCellStyle="Pourcentage"/>
    <tableColumn id="10" xr3:uid="{00000000-0010-0000-0400-00000A000000}" name="Max Drawdown 5 ans" dataDxfId="377" dataCellStyle="Pourcentage"/>
    <tableColumn id="11" xr3:uid="{00000000-0010-0000-0400-00000B000000}" name="Couple Rendement Risque 5 ans" dataDxfId="376" dataCellStyle="Milliers"/>
    <tableColumn id="12" xr3:uid="{00000000-0010-0000-0400-00000C000000}" name="Performance annualisée 3 ans" dataDxfId="375" dataCellStyle="Pourcentage"/>
    <tableColumn id="13" xr3:uid="{00000000-0010-0000-0400-00000D000000}" name="Volatilité annualisée 3 ans" dataDxfId="374" dataCellStyle="Pourcentage"/>
    <tableColumn id="14" xr3:uid="{00000000-0010-0000-0400-00000E000000}" name="Max Drawdown 3 ans" dataDxfId="373" dataCellStyle="Pourcentage"/>
    <tableColumn id="15" xr3:uid="{00000000-0010-0000-0400-00000F000000}" name="Couple Rendement Risque 3 ans" dataDxfId="372" dataCellStyle="Milliers"/>
    <tableColumn id="16" xr3:uid="{00000000-0010-0000-0400-000010000000}" name="Performance annualisée 1 an" dataDxfId="371" dataCellStyle="Pourcentage"/>
    <tableColumn id="17" xr3:uid="{00000000-0010-0000-0400-000011000000}" name="Volatilité annualisée 1 an" dataDxfId="370" dataCellStyle="Pourcentage"/>
    <tableColumn id="18" xr3:uid="{00000000-0010-0000-0400-000012000000}" name="Max Drawdown 1 an" dataDxfId="369" dataCellStyle="Pourcentage"/>
    <tableColumn id="19" xr3:uid="{00000000-0010-0000-0400-000013000000}" name="Couple Rendement Risque 1 an" dataDxfId="368" dataCellStyle="Milliers"/>
    <tableColumn id="20" xr3:uid="{00000000-0010-0000-0400-000014000000}" name="Date de recommandation du fonds" dataDxfId="367" dataCellStyle="Milliers"/>
    <tableColumn id="30" xr3:uid="{41FD74C7-9EBA-4B5F-8DD2-7A508CCC0191}" name="Article SFDR (6,8 ou 9)" dataDxfId="366" dataCellStyle="Milliers"/>
    <tableColumn id="32" xr3:uid="{7A4F1790-E80A-48CA-8D29-A38987D1D83B}" name="label ISR (oui/non)" dataDxfId="365" dataCellStyle="Milliers"/>
    <tableColumn id="31" xr3:uid="{BF132337-9EF4-4CB2-95FB-A1B3414F5169}" name="label Finansol (oui/non)" dataDxfId="364" dataCellStyle="Milliers"/>
    <tableColumn id="22" xr3:uid="{00000000-0010-0000-0400-000016000000}" name="label Greenfin (oui/non)" dataDxfId="363" dataCellStyle="Milliers"/>
    <tableColumn id="23" xr3:uid="{00000000-0010-0000-0400-000017000000}" name="label CIES (oui/non)" dataDxfId="362" dataCellStyle="Milliers"/>
    <tableColumn id="24" xr3:uid="{4717B1E6-48AA-44B9-9889-C4065BB7CF79}" name="label France Relance (oui/non)" dataDxfId="361" dataCellStyle="Milliers"/>
    <tableColumn id="25" xr3:uid="{3FFBFDA8-9299-4178-BA2B-6CE94A8DE190}" name="Type" dataDxfId="360" dataCellStyle="Milliers"/>
  </tableColumns>
  <tableStyleInfo name="Résultats Observatoir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CC5841D-AB3C-4954-AB02-4001F2DB4944}" name="Table916" displayName="Table916" ref="A3:AE19" totalsRowShown="0">
  <autoFilter ref="A3:AE19" xr:uid="{00000000-000C-0000-FFFF-FFFF04000000}"/>
  <sortState xmlns:xlrd2="http://schemas.microsoft.com/office/spreadsheetml/2017/richdata2" ref="A4:AE19">
    <sortCondition ref="A3:A19"/>
  </sortState>
  <tableColumns count="31">
    <tableColumn id="1" xr3:uid="{B714F879-E637-4D9A-9BC2-269F66622E1D}" name="Société" dataDxfId="244"/>
    <tableColumn id="2" xr3:uid="{77664B07-A5C3-4125-83D8-ABE00E3A7BED}" name="Nom du fonds" dataDxfId="243"/>
    <tableColumn id="3" xr3:uid="{ACE68877-FA1A-40A1-8024-7B41B1C0FACB}" name="Performance annualisée depuis 01/08" dataDxfId="242" dataCellStyle="Pourcentage"/>
    <tableColumn id="4" xr3:uid="{A59C1551-C64F-44E5-BC69-13045C79D869}" name="Perf. Totale depuis 01/08" dataDxfId="241" dataCellStyle="Pourcentage"/>
    <tableColumn id="5" xr3:uid="{D7F82DBE-8506-4F7E-852B-7F3443F91C8F}" name="Volatilité annualisée depuis 01/08" dataDxfId="240" dataCellStyle="Pourcentage"/>
    <tableColumn id="6" xr3:uid="{680E45B5-4A7C-4C46-A4AA-AEB2FC7EB0D3}" name="Max Drawdown depuis 01/08" dataDxfId="239" dataCellStyle="Pourcentage"/>
    <tableColumn id="7" xr3:uid="{E6D6BBDC-AAE0-494D-B470-BA5D44A1ECFE}" name="Couple Rendement / Risque depuis 01/08" dataDxfId="238" dataCellStyle="Milliers"/>
    <tableColumn id="33" xr3:uid="{D27DE331-A15A-4561-8947-73A8E681CE2B}" name="Performance annualisée 10 ans" dataDxfId="237" dataCellStyle="Milliers"/>
    <tableColumn id="34" xr3:uid="{81BB396F-DC0C-4218-A703-DBB7B3B5BC3E}" name="Volatilité annualisée 10 ans" dataDxfId="236" dataCellStyle="Pourcentage 2"/>
    <tableColumn id="35" xr3:uid="{0AD5F860-8568-452E-A49E-53E78EB388D4}" name="Max Drawdown 10 ans" dataDxfId="235" dataCellStyle="Milliers"/>
    <tableColumn id="36" xr3:uid="{B0B7825D-C72D-49E2-AD89-06D6D8B1CE7C}" name="Couple Rendement Risque 10 ans" dataDxfId="234" dataCellStyle="Milliers"/>
    <tableColumn id="8" xr3:uid="{AE2DA483-FFCF-4D87-8CDF-B7C7E0F36C31}" name="Performance annualisée 5 ans" dataDxfId="233" dataCellStyle="Pourcentage"/>
    <tableColumn id="9" xr3:uid="{14204B44-B2D1-41DC-9A88-FE2DE5300643}" name="Volatilité annualisée 5 ans" dataDxfId="232" dataCellStyle="Pourcentage"/>
    <tableColumn id="10" xr3:uid="{A8B88694-C710-48D8-A0FF-3F88AB6F692C}" name="Max Drawdown 5 ans" dataDxfId="231" dataCellStyle="Pourcentage"/>
    <tableColumn id="11" xr3:uid="{DC74816A-486D-4487-A1B4-02B5ADEE7CE3}" name="Couple Rendement Risque 5 ans" dataDxfId="230" dataCellStyle="Milliers"/>
    <tableColumn id="12" xr3:uid="{241E7AB6-3F00-495D-B21A-247E565748FD}" name="Performance annualisée 3 ans" dataDxfId="229" dataCellStyle="Pourcentage"/>
    <tableColumn id="13" xr3:uid="{E24C8444-13CD-4091-8B6E-FB01B22F2B58}" name="Volatilité annualisée 3 ans" dataDxfId="228" dataCellStyle="Pourcentage"/>
    <tableColumn id="14" xr3:uid="{97CA93DC-BE2E-40C0-BDAD-9EC4B9B7A15F}" name="Max Drawdown 3 ans" dataDxfId="227" dataCellStyle="Pourcentage"/>
    <tableColumn id="15" xr3:uid="{D3F106BD-9347-468D-A615-023A04390418}" name="Couple Rendement Risque 3 ans" dataDxfId="226" dataCellStyle="Milliers"/>
    <tableColumn id="16" xr3:uid="{65EF5F8E-B1EF-4342-A099-4C2E8351B2A0}" name="Performance annualisée 1 an" dataDxfId="225" dataCellStyle="Pourcentage"/>
    <tableColumn id="17" xr3:uid="{EA60BF01-891E-4082-AA7D-64338F557F07}" name="Volatilité annualisée 1 an" dataDxfId="224" dataCellStyle="Pourcentage"/>
    <tableColumn id="18" xr3:uid="{BA8594AF-0590-46B4-BAD0-F92949A380A8}" name="Max Drawdown 1 an" dataDxfId="223" dataCellStyle="Pourcentage"/>
    <tableColumn id="19" xr3:uid="{B5F55ADA-7CFE-4FA3-B675-B08016AD887E}" name="Couple Rendement Risque 1 an" dataDxfId="222" dataCellStyle="Milliers"/>
    <tableColumn id="20" xr3:uid="{C971DE35-B049-41D2-B813-EF59AC247D03}" name="Date de recommandation du fonds" dataDxfId="221" dataCellStyle="Milliers"/>
    <tableColumn id="30" xr3:uid="{9963B56D-9379-46AE-89D7-BAB7DB5CAE92}" name="Article SFDR (6,8 ou 9)" dataDxfId="220" dataCellStyle="Milliers"/>
    <tableColumn id="32" xr3:uid="{C10D024D-011B-4E08-AF03-EE0DC81B9291}" name="label ISR (oui/non)" dataDxfId="219" dataCellStyle="Milliers"/>
    <tableColumn id="31" xr3:uid="{CACC1741-FD04-4377-BBE0-D5D38F761453}" name="label Finansol (oui/non)" dataDxfId="218" dataCellStyle="Milliers"/>
    <tableColumn id="22" xr3:uid="{43877DD9-6B2B-42D9-8545-66E932DF25D1}" name="label Greenfin (oui/non)" dataDxfId="217" dataCellStyle="Milliers"/>
    <tableColumn id="23" xr3:uid="{F2EA7860-8AA9-4ACE-BCD3-F45DA7C1BA8F}" name="label CIES (oui/non)" dataDxfId="216" dataCellStyle="Milliers"/>
    <tableColumn id="24" xr3:uid="{BF381D21-E9FA-4A75-B228-72D4A412891B}" name="label France Relance (oui/non)" dataDxfId="215" dataCellStyle="Milliers"/>
    <tableColumn id="25" xr3:uid="{B084B705-ED40-495C-A2A8-545F8A47B493}" name="Type" dataDxfId="214" dataCellStyle="Milliers"/>
  </tableColumns>
  <tableStyleInfo name="Résultats Observatoire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le3" displayName="Table3" ref="A3:AE23" totalsRowShown="0">
  <autoFilter ref="A3:AE23" xr:uid="{00000000-0009-0000-0100-000003000000}"/>
  <sortState xmlns:xlrd2="http://schemas.microsoft.com/office/spreadsheetml/2017/richdata2" ref="A4:AE23">
    <sortCondition ref="A3:A23"/>
  </sortState>
  <tableColumns count="31">
    <tableColumn id="1" xr3:uid="{00000000-0010-0000-0700-000001000000}" name="Société"/>
    <tableColumn id="2" xr3:uid="{00000000-0010-0000-0700-000002000000}" name="Nom du fonds"/>
    <tableColumn id="3" xr3:uid="{00000000-0010-0000-0700-000003000000}" name="Performance annualisée depuis 01/08" dataDxfId="213"/>
    <tableColumn id="4" xr3:uid="{00000000-0010-0000-0700-000004000000}" name="Perf. Totale depuis 01/08" dataDxfId="212"/>
    <tableColumn id="5" xr3:uid="{00000000-0010-0000-0700-000005000000}" name="Volatilité annualisée depuis 01/08" dataDxfId="211"/>
    <tableColumn id="6" xr3:uid="{00000000-0010-0000-0700-000006000000}" name="Max Drawdown depuis 01/08" dataDxfId="210"/>
    <tableColumn id="7" xr3:uid="{00000000-0010-0000-0700-000007000000}" name="Couple Rendement / Risque depuis 01/08" dataDxfId="209"/>
    <tableColumn id="27" xr3:uid="{8CA9D944-3C49-4DF7-806D-63EA81A7D9A6}" name="Performance annualisée 10 ans" dataDxfId="208" dataCellStyle="Pourcentage"/>
    <tableColumn id="28" xr3:uid="{593CB7CB-9EAD-4EA3-8F43-9189B86DA76E}" name="Volatilité annualisée 10 ans" dataDxfId="207" dataCellStyle="Pourcentage"/>
    <tableColumn id="29" xr3:uid="{20FFC2B0-0573-4F72-B5D2-A0503BA26282}" name="Max Drawdown 10 ans" dataDxfId="206" dataCellStyle="Pourcentage"/>
    <tableColumn id="30" xr3:uid="{62BED5DF-0D2C-49E9-9772-386FB7CE60CB}" name="Couple Rendement Risque 10 ans" dataDxfId="205" dataCellStyle="Milliers"/>
    <tableColumn id="8" xr3:uid="{00000000-0010-0000-0700-000008000000}" name="Performance annualisée 5 ans" dataDxfId="204"/>
    <tableColumn id="9" xr3:uid="{00000000-0010-0000-0700-000009000000}" name="Volatilité annualisée 5 ans" dataDxfId="203"/>
    <tableColumn id="10" xr3:uid="{00000000-0010-0000-0700-00000A000000}" name="Max Drawdown 5 ans" dataDxfId="202"/>
    <tableColumn id="11" xr3:uid="{00000000-0010-0000-0700-00000B000000}" name="Couple Rendement Risque 5 ans" dataDxfId="201"/>
    <tableColumn id="12" xr3:uid="{00000000-0010-0000-0700-00000C000000}" name="Performance annualisée 3 ans" dataDxfId="200"/>
    <tableColumn id="13" xr3:uid="{00000000-0010-0000-0700-00000D000000}" name="Volatilité annualisée 3 ans" dataDxfId="199"/>
    <tableColumn id="14" xr3:uid="{00000000-0010-0000-0700-00000E000000}" name="Max Drawdown 3 ans" dataDxfId="198"/>
    <tableColumn id="15" xr3:uid="{00000000-0010-0000-0700-00000F000000}" name="Couple Rendement Risque 3 ans" dataDxfId="197"/>
    <tableColumn id="16" xr3:uid="{00000000-0010-0000-0700-000010000000}" name="Performance annualisée 1 an" dataDxfId="196"/>
    <tableColumn id="17" xr3:uid="{00000000-0010-0000-0700-000011000000}" name="Volatilité annualisée 1 an" dataDxfId="195"/>
    <tableColumn id="18" xr3:uid="{00000000-0010-0000-0700-000012000000}" name="Max Drawdown 1 an" dataDxfId="194"/>
    <tableColumn id="19" xr3:uid="{00000000-0010-0000-0700-000013000000}" name="Couple Rendement Risque 1 an" dataDxfId="193"/>
    <tableColumn id="20" xr3:uid="{00000000-0010-0000-0700-000014000000}" name="Date de recommandation du fonds"/>
    <tableColumn id="24" xr3:uid="{EB832D4F-3FA6-4327-A3B8-456513956D08}" name="Article SFDR (6,8 ou 9)" dataDxfId="192" dataCellStyle="Milliers"/>
    <tableColumn id="26" xr3:uid="{2B77FAE7-492A-40EC-B6E1-C84537531B5A}" name="label ISR (oui/non)" dataDxfId="191" dataCellStyle="Milliers"/>
    <tableColumn id="25" xr3:uid="{692D1084-F0FA-4334-A405-E776703631F5}" name="label Finansol (oui/non)" dataDxfId="190" dataCellStyle="Milliers"/>
    <tableColumn id="22" xr3:uid="{00000000-0010-0000-0700-000016000000}" name="label Greenfin (oui/non)" dataDxfId="189" dataCellStyle="Milliers"/>
    <tableColumn id="23" xr3:uid="{00000000-0010-0000-0700-000017000000}" name="label CIES (oui/non)" dataDxfId="188"/>
    <tableColumn id="31" xr3:uid="{390A201B-42F5-430E-B7E9-BF95723BE3F8}" name="label France Relance (oui/non)" dataDxfId="187"/>
    <tableColumn id="32" xr3:uid="{A3E92A44-830F-4AE9-8DF6-CA1EAE875DC0}" name="Type" dataDxfId="186"/>
  </tableColumns>
  <tableStyleInfo name="Résultats Observatoire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8000000}" name="Table1" displayName="Table1" ref="A3:AE22" totalsRowShown="0">
  <autoFilter ref="A3:AE22" xr:uid="{00000000-0009-0000-0100-000001000000}"/>
  <sortState xmlns:xlrd2="http://schemas.microsoft.com/office/spreadsheetml/2017/richdata2" ref="A4:AE22">
    <sortCondition ref="A3:A22"/>
  </sortState>
  <tableColumns count="31">
    <tableColumn id="1" xr3:uid="{00000000-0010-0000-0800-000001000000}" name="Société" dataDxfId="185"/>
    <tableColumn id="2" xr3:uid="{00000000-0010-0000-0800-000002000000}" name="Nom du fonds" dataDxfId="184"/>
    <tableColumn id="3" xr3:uid="{00000000-0010-0000-0800-000003000000}" name="Performance annualisée depuis 01/08" dataDxfId="183" dataCellStyle="Pourcentage"/>
    <tableColumn id="4" xr3:uid="{00000000-0010-0000-0800-000004000000}" name="Perf. Totale depuis 01/08" dataDxfId="182" dataCellStyle="Pourcentage"/>
    <tableColumn id="5" xr3:uid="{00000000-0010-0000-0800-000005000000}" name="Volatilité annualisée depuis 01/08" dataDxfId="181" dataCellStyle="Pourcentage"/>
    <tableColumn id="6" xr3:uid="{00000000-0010-0000-0800-000006000000}" name="Max Drawdown depuis 01/08" dataDxfId="180" dataCellStyle="Pourcentage"/>
    <tableColumn id="7" xr3:uid="{00000000-0010-0000-0800-000007000000}" name="Couple Rendement / Risque depuis 01/08" dataDxfId="179" dataCellStyle="Milliers"/>
    <tableColumn id="33" xr3:uid="{0085BCA8-C4B5-4BBE-9FAE-D13E755784E3}" name="Performance annualisée 10 ans" dataDxfId="178" dataCellStyle="Pourcentage"/>
    <tableColumn id="34" xr3:uid="{E872078A-993B-45F7-9BFA-6FF08706B9FB}" name="Volatilité annualisée 10 ans" dataDxfId="177" dataCellStyle="Pourcentage"/>
    <tableColumn id="35" xr3:uid="{C4188FA8-25C9-4818-8AF5-1EA1EF709942}" name="Max Drawdown 10 ans" dataDxfId="176" dataCellStyle="Pourcentage"/>
    <tableColumn id="36" xr3:uid="{210EE325-7759-4A01-B826-AB046B458BBA}" name="Couple Rendement Risque 10 ans" dataDxfId="175" dataCellStyle="Milliers"/>
    <tableColumn id="8" xr3:uid="{00000000-0010-0000-0800-000008000000}" name="Performance annualisée 5 ans" dataDxfId="174" dataCellStyle="Pourcentage"/>
    <tableColumn id="9" xr3:uid="{00000000-0010-0000-0800-000009000000}" name="Volatilité annualisée 5 ans" dataDxfId="173" dataCellStyle="Pourcentage"/>
    <tableColumn id="10" xr3:uid="{00000000-0010-0000-0800-00000A000000}" name="Max Drawdown 5 ans" dataDxfId="172" dataCellStyle="Pourcentage"/>
    <tableColumn id="11" xr3:uid="{00000000-0010-0000-0800-00000B000000}" name="Couple Rendement Risque 5 ans" dataDxfId="171" dataCellStyle="Milliers"/>
    <tableColumn id="12" xr3:uid="{00000000-0010-0000-0800-00000C000000}" name="Performance annualisée 3 ans" dataDxfId="170" dataCellStyle="Pourcentage"/>
    <tableColumn id="13" xr3:uid="{00000000-0010-0000-0800-00000D000000}" name="Volatilité annualisée 3 ans" dataDxfId="169" dataCellStyle="Pourcentage"/>
    <tableColumn id="14" xr3:uid="{00000000-0010-0000-0800-00000E000000}" name="Max Drawdown 3 ans" dataDxfId="168" dataCellStyle="Pourcentage"/>
    <tableColumn id="15" xr3:uid="{00000000-0010-0000-0800-00000F000000}" name="Couple Rendement Risque 3 ans" dataDxfId="167" dataCellStyle="Milliers"/>
    <tableColumn id="16" xr3:uid="{00000000-0010-0000-0800-000010000000}" name="Performance annualisée 1 an" dataDxfId="166" dataCellStyle="Pourcentage"/>
    <tableColumn id="17" xr3:uid="{00000000-0010-0000-0800-000011000000}" name="Volatilité annualisée 1 an" dataDxfId="165" dataCellStyle="Pourcentage"/>
    <tableColumn id="18" xr3:uid="{00000000-0010-0000-0800-000012000000}" name="Max Drawdown 1 an" dataDxfId="164" dataCellStyle="Pourcentage"/>
    <tableColumn id="19" xr3:uid="{00000000-0010-0000-0800-000013000000}" name="Couple Rendement Risque 1 an" dataDxfId="163" dataCellStyle="Milliers"/>
    <tableColumn id="20" xr3:uid="{00000000-0010-0000-0800-000014000000}" name="Date de recommandation du fonds" dataDxfId="162" dataCellStyle="Milliers"/>
    <tableColumn id="24" xr3:uid="{0188EDD4-915E-48E8-A6AB-6A144A7CDC60}" name="Article SFDR (6,8 ou 9)" dataDxfId="161" dataCellStyle="Milliers"/>
    <tableColumn id="26" xr3:uid="{363A5316-C8A1-478D-B339-F265A93248F1}" name="label ISR (oui/non)" dataDxfId="160" dataCellStyle="Milliers"/>
    <tableColumn id="25" xr3:uid="{963724BC-9186-49F1-8874-9CC1409AA107}" name="label Finansol (oui/non)" dataDxfId="159" dataCellStyle="Milliers"/>
    <tableColumn id="22" xr3:uid="{00000000-0010-0000-0800-000016000000}" name="label Greenfin (oui/non)" dataDxfId="158" dataCellStyle="Milliers"/>
    <tableColumn id="23" xr3:uid="{00000000-0010-0000-0800-000017000000}" name="label CIES (oui/non)" dataDxfId="157" dataCellStyle="Milliers"/>
    <tableColumn id="27" xr3:uid="{46C9955C-9682-4B92-9D35-96436E776708}" name="label France Relance (oui/non)" dataDxfId="156" dataCellStyle="Milliers"/>
    <tableColumn id="28" xr3:uid="{6364C216-4538-4D23-BD5F-14A74A48556F}" name="Type" dataDxfId="155" dataCellStyle="Milliers"/>
  </tableColumns>
  <tableStyleInfo name="Résultats Observatoire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Table4" displayName="Table4" ref="S20:S30" totalsRowShown="0" headerRowDxfId="154" dataDxfId="153">
  <tableColumns count="1">
    <tableColumn id="1" xr3:uid="{00000000-0010-0000-0900-000001000000}" name="Colonne1" dataDxfId="152"/>
  </tableColumns>
  <tableStyleInfo name="Résultats Observatoire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A000000}" name="Table5" displayName="Table5" ref="A3:AE14" totalsRowShown="0">
  <autoFilter ref="A3:AE14" xr:uid="{00000000-0009-0000-0100-000005000000}"/>
  <sortState xmlns:xlrd2="http://schemas.microsoft.com/office/spreadsheetml/2017/richdata2" ref="A4:AE14">
    <sortCondition ref="A3:A14"/>
  </sortState>
  <tableColumns count="31">
    <tableColumn id="1" xr3:uid="{00000000-0010-0000-0A00-000001000000}" name="Société" dataDxfId="151"/>
    <tableColumn id="2" xr3:uid="{00000000-0010-0000-0A00-000002000000}" name="Nom du fonds" dataDxfId="150"/>
    <tableColumn id="3" xr3:uid="{00000000-0010-0000-0A00-000003000000}" name="Performance annualisée depuis 01/08" dataDxfId="149" dataCellStyle="Pourcentage"/>
    <tableColumn id="4" xr3:uid="{00000000-0010-0000-0A00-000004000000}" name="Perf. Totale depuis 01/08" dataDxfId="148" dataCellStyle="Pourcentage"/>
    <tableColumn id="5" xr3:uid="{00000000-0010-0000-0A00-000005000000}" name="Volatilité annualisée depuis 01/08" dataDxfId="147" dataCellStyle="Pourcentage"/>
    <tableColumn id="6" xr3:uid="{00000000-0010-0000-0A00-000006000000}" name="Max Drawdown depuis 01/08" dataDxfId="146" dataCellStyle="Pourcentage"/>
    <tableColumn id="7" xr3:uid="{00000000-0010-0000-0A00-000007000000}" name="Couple Rendement / Risque depuis 01/08" dataDxfId="145" dataCellStyle="Milliers"/>
    <tableColumn id="27" xr3:uid="{49C875F3-E833-4570-8AB0-BB0A1DEC3687}" name="Performance annualisée 10 ans" dataDxfId="144" dataCellStyle="Pourcentage"/>
    <tableColumn id="28" xr3:uid="{159FA5F8-27F8-4953-BF3F-9186130A614F}" name="Volatilité annualisée 10 ans" dataDxfId="143" dataCellStyle="Pourcentage"/>
    <tableColumn id="29" xr3:uid="{C7097B7F-C42D-4030-BFBE-3CE67B61F4EC}" name="Max Drawdown 10 ans" dataDxfId="142" dataCellStyle="Pourcentage"/>
    <tableColumn id="30" xr3:uid="{62223F25-83F4-40B7-A38C-D673920C713E}" name="Couple Rendement Risque 10 ans" dataDxfId="141" dataCellStyle="Milliers"/>
    <tableColumn id="8" xr3:uid="{00000000-0010-0000-0A00-000008000000}" name="Performance annualisée 5 ans" dataDxfId="140" dataCellStyle="Pourcentage"/>
    <tableColumn id="9" xr3:uid="{00000000-0010-0000-0A00-000009000000}" name="Volatilité annualisée 5 ans" dataDxfId="139" dataCellStyle="Pourcentage"/>
    <tableColumn id="10" xr3:uid="{00000000-0010-0000-0A00-00000A000000}" name="Max Drawdown 5 ans" dataDxfId="138" dataCellStyle="Pourcentage"/>
    <tableColumn id="11" xr3:uid="{00000000-0010-0000-0A00-00000B000000}" name="Couple Rendement Risque 5 ans" dataDxfId="137" dataCellStyle="Milliers"/>
    <tableColumn id="12" xr3:uid="{00000000-0010-0000-0A00-00000C000000}" name="Performance annualisée 3 ans" dataDxfId="136" dataCellStyle="Pourcentage"/>
    <tableColumn id="13" xr3:uid="{00000000-0010-0000-0A00-00000D000000}" name="Volatilité annualisée 3 ans" dataDxfId="135" dataCellStyle="Pourcentage"/>
    <tableColumn id="14" xr3:uid="{00000000-0010-0000-0A00-00000E000000}" name="Max Drawdown 3 ans" dataDxfId="134" dataCellStyle="Pourcentage"/>
    <tableColumn id="15" xr3:uid="{00000000-0010-0000-0A00-00000F000000}" name="Couple Rendement Risque 3 ans" dataDxfId="133" dataCellStyle="Milliers"/>
    <tableColumn id="16" xr3:uid="{00000000-0010-0000-0A00-000010000000}" name="Performance annualisée 1 an" dataDxfId="132" dataCellStyle="Pourcentage"/>
    <tableColumn id="17" xr3:uid="{00000000-0010-0000-0A00-000011000000}" name="Volatilité annualisée 1 an" dataDxfId="131" dataCellStyle="Pourcentage"/>
    <tableColumn id="18" xr3:uid="{00000000-0010-0000-0A00-000012000000}" name="Max Drawdown 1 an" dataDxfId="130" dataCellStyle="Pourcentage"/>
    <tableColumn id="19" xr3:uid="{00000000-0010-0000-0A00-000013000000}" name="Couple Rendement Risque 1 an" dataDxfId="129" dataCellStyle="Milliers"/>
    <tableColumn id="20" xr3:uid="{00000000-0010-0000-0A00-000014000000}" name="Date de recommandation du fonds" dataDxfId="128" dataCellStyle="Milliers"/>
    <tableColumn id="24" xr3:uid="{73D2E57E-92EE-4813-A4B0-0DB32A20D06E}" name="Article SFDR (6,8 ou 9)" dataDxfId="127" dataCellStyle="Milliers"/>
    <tableColumn id="26" xr3:uid="{31A39F6B-33DF-43A0-A473-A079BCA9095E}" name="label ISR (oui/non)" dataDxfId="126" dataCellStyle="Milliers"/>
    <tableColumn id="25" xr3:uid="{9D6E0EEA-1163-4191-B483-FD683E6D969D}" name="label Finansol (oui/non)" dataDxfId="125" dataCellStyle="Milliers"/>
    <tableColumn id="22" xr3:uid="{00000000-0010-0000-0A00-000016000000}" name="label Greenfin (oui/non)" dataDxfId="124" dataCellStyle="Milliers"/>
    <tableColumn id="23" xr3:uid="{00000000-0010-0000-0A00-000017000000}" name="label CIES (oui/non)" dataDxfId="123" dataCellStyle="Milliers"/>
    <tableColumn id="31" xr3:uid="{DB907427-E1E6-4D76-B957-E592B726AF50}" name="label France Relance (oui/non)" dataDxfId="122" dataCellStyle="Milliers"/>
    <tableColumn id="32" xr3:uid="{3EF7790B-F576-4966-B4B3-CD479531907D}" name="Type" dataDxfId="121" dataCellStyle="Milliers"/>
  </tableColumns>
  <tableStyleInfo name="Résultats Observatoire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B000000}" name="Table6" displayName="Table6" ref="A3:AE10" totalsRowShown="0">
  <autoFilter ref="A3:AE10" xr:uid="{00000000-0009-0000-0100-000006000000}"/>
  <sortState xmlns:xlrd2="http://schemas.microsoft.com/office/spreadsheetml/2017/richdata2" ref="A4:AE10">
    <sortCondition ref="A3:A10"/>
  </sortState>
  <tableColumns count="31">
    <tableColumn id="1" xr3:uid="{00000000-0010-0000-0B00-000001000000}" name="Société" dataDxfId="120"/>
    <tableColumn id="2" xr3:uid="{00000000-0010-0000-0B00-000002000000}" name="Nom du fonds" dataDxfId="119"/>
    <tableColumn id="3" xr3:uid="{00000000-0010-0000-0B00-000003000000}" name="Performance annualisée depuis 01/08" dataDxfId="118" dataCellStyle="Pourcentage"/>
    <tableColumn id="4" xr3:uid="{00000000-0010-0000-0B00-000004000000}" name="Perf. Totale depuis 01/08" dataDxfId="117" dataCellStyle="Pourcentage"/>
    <tableColumn id="5" xr3:uid="{00000000-0010-0000-0B00-000005000000}" name="Volatilité annualisée depuis 01/08" dataDxfId="116" dataCellStyle="Pourcentage"/>
    <tableColumn id="6" xr3:uid="{00000000-0010-0000-0B00-000006000000}" name="Max Drawdown depuis 01/08" dataDxfId="115" dataCellStyle="Pourcentage"/>
    <tableColumn id="7" xr3:uid="{00000000-0010-0000-0B00-000007000000}" name="Couple Rendement / Risque depuis 01/08" dataDxfId="114" dataCellStyle="Milliers"/>
    <tableColumn id="27" xr3:uid="{8D98D393-1EEC-4272-A124-CB17ED1F27CB}" name="Performance annualisée 10 ans" dataDxfId="113" dataCellStyle="Milliers"/>
    <tableColumn id="28" xr3:uid="{F6E21668-134A-48C8-9F13-83B5C3612C35}" name="Volatilité annualisée 10 ans" dataDxfId="112" dataCellStyle="Milliers"/>
    <tableColumn id="29" xr3:uid="{26F02D54-53D4-417C-9F59-CD84C433380B}" name="Max Drawdown 10 ans" dataDxfId="111" dataCellStyle="Milliers"/>
    <tableColumn id="30" xr3:uid="{C205E7E1-AD94-4AAC-B5A6-881FF773CB82}" name="Couple Rendement Risque 10 ans" dataDxfId="110" dataCellStyle="Milliers"/>
    <tableColumn id="8" xr3:uid="{00000000-0010-0000-0B00-000008000000}" name="Performance annualisée 5 ans" dataDxfId="109" dataCellStyle="Pourcentage"/>
    <tableColumn id="9" xr3:uid="{00000000-0010-0000-0B00-000009000000}" name="Volatilité annualisée 5 ans" dataDxfId="108" dataCellStyle="Pourcentage"/>
    <tableColumn id="10" xr3:uid="{00000000-0010-0000-0B00-00000A000000}" name="Max Drawdown 5 ans" dataDxfId="107" dataCellStyle="Pourcentage"/>
    <tableColumn id="11" xr3:uid="{00000000-0010-0000-0B00-00000B000000}" name="Couple Rendement Risque 5 ans" dataDxfId="106" dataCellStyle="Milliers"/>
    <tableColumn id="12" xr3:uid="{00000000-0010-0000-0B00-00000C000000}" name="Performance annualisée 3 ans" dataDxfId="105" dataCellStyle="Pourcentage"/>
    <tableColumn id="13" xr3:uid="{00000000-0010-0000-0B00-00000D000000}" name="Volatilité annualisée 3 ans" dataDxfId="104" dataCellStyle="Pourcentage"/>
    <tableColumn id="14" xr3:uid="{00000000-0010-0000-0B00-00000E000000}" name="Max Drawdown 3 ans" dataDxfId="103" dataCellStyle="Pourcentage"/>
    <tableColumn id="15" xr3:uid="{00000000-0010-0000-0B00-00000F000000}" name="Couple Rendement Risque 3 ans" dataDxfId="102" dataCellStyle="Milliers"/>
    <tableColumn id="16" xr3:uid="{00000000-0010-0000-0B00-000010000000}" name="Performance annualisée 1 an" dataDxfId="101" dataCellStyle="Pourcentage"/>
    <tableColumn id="17" xr3:uid="{00000000-0010-0000-0B00-000011000000}" name="Volatilité annualisée 1 an" dataDxfId="100" dataCellStyle="Pourcentage"/>
    <tableColumn id="18" xr3:uid="{00000000-0010-0000-0B00-000012000000}" name="Max Drawdown 1 an" dataDxfId="99" dataCellStyle="Pourcentage"/>
    <tableColumn id="19" xr3:uid="{00000000-0010-0000-0B00-000013000000}" name="Couple Rendement Risque 1 an" dataDxfId="98" dataCellStyle="Milliers"/>
    <tableColumn id="20" xr3:uid="{00000000-0010-0000-0B00-000014000000}" name="Date de recommandation du fonds" dataDxfId="97" dataCellStyle="Milliers"/>
    <tableColumn id="24" xr3:uid="{2F64D657-AA74-4C16-927B-00CE6C90E6BB}" name="Article SFDR (6,8 ou 9)" dataDxfId="96" dataCellStyle="Milliers"/>
    <tableColumn id="26" xr3:uid="{EB6F1BA0-1BA7-4D38-99CB-F778E577CF05}" name="label ISR (oui/non)" dataDxfId="95" dataCellStyle="Milliers"/>
    <tableColumn id="25" xr3:uid="{BB819940-EDAA-4B3B-AEE4-B750EA021D74}" name="label Finansol (oui/non)" dataDxfId="94" dataCellStyle="Milliers"/>
    <tableColumn id="22" xr3:uid="{00000000-0010-0000-0B00-000016000000}" name="label Greenfin (oui/non)" dataDxfId="93" dataCellStyle="Milliers"/>
    <tableColumn id="23" xr3:uid="{00000000-0010-0000-0B00-000017000000}" name="label CIES (oui/non)" dataDxfId="92" dataCellStyle="Milliers"/>
    <tableColumn id="31" xr3:uid="{30A98B95-D9B5-4D9C-A1A0-179CE4E86824}" name="label France Relance (oui/non)" dataDxfId="91" dataCellStyle="Milliers"/>
    <tableColumn id="32" xr3:uid="{71E3DB82-7E3F-4B1E-9FFE-5E4E76723BBA}" name="Type" dataDxfId="90" dataCellStyle="Milliers"/>
  </tableColumns>
  <tableStyleInfo name="Résultats Observatoire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BC53A9A-DAD6-4B19-ADE0-BCE02993589C}" name="Table113" displayName="Table113" ref="A3:AE18" totalsRowShown="0">
  <autoFilter ref="A3:AE18" xr:uid="{00000000-0009-0000-0100-000001000000}"/>
  <sortState xmlns:xlrd2="http://schemas.microsoft.com/office/spreadsheetml/2017/richdata2" ref="A4:AE18">
    <sortCondition ref="A3:A18"/>
  </sortState>
  <tableColumns count="31">
    <tableColumn id="1" xr3:uid="{6093E4D7-E433-4A31-80A2-2C2389D3716C}" name="Société"/>
    <tableColumn id="2" xr3:uid="{DC391FDB-3A4A-45AA-8EDE-927C3A51123B}" name="Nom du fonds"/>
    <tableColumn id="3" xr3:uid="{3BE2966C-D611-4B9C-BCBC-D0D1B78C4B6A}" name="Performance annualisée depuis 01/08" dataDxfId="89"/>
    <tableColumn id="4" xr3:uid="{4F9092E9-BC38-4513-94F3-6EF0426E1401}" name="Perf. Totale depuis 01/08" dataDxfId="88"/>
    <tableColumn id="5" xr3:uid="{2BF8F188-6B93-43CD-8530-C91B2D822F83}" name="Volatilité annualisée depuis 01/08" dataDxfId="87"/>
    <tableColumn id="6" xr3:uid="{7A03926C-16F3-4B08-B561-7E79C356E7FE}" name="Max Drawdown depuis 01/08" dataDxfId="86"/>
    <tableColumn id="7" xr3:uid="{D433BDD7-F4EC-4A1F-A577-6684D87B5E5C}" name="Couple Rendement / Risque depuis 01/08" dataDxfId="85"/>
    <tableColumn id="33" xr3:uid="{B925A4D5-6166-413F-9A67-FC3E8F56E7BF}" name="Performance annualisée 10 ans" dataDxfId="84" dataCellStyle="Pourcentage"/>
    <tableColumn id="34" xr3:uid="{3F4B12EF-DFD2-48DA-B650-CC6FE8FCD5E3}" name="Volatilité annualisée 10 ans" dataDxfId="83" dataCellStyle="Pourcentage"/>
    <tableColumn id="35" xr3:uid="{06DCDEC4-3EF7-4CC7-A904-3929955E4C16}" name="Max Drawdown 10 ans" dataDxfId="82" dataCellStyle="Pourcentage"/>
    <tableColumn id="36" xr3:uid="{8579EDD1-3EAC-42B6-80D3-761DC4A01CAD}" name="Couple Rendement Risque 10 ans" dataDxfId="81" dataCellStyle="Milliers"/>
    <tableColumn id="8" xr3:uid="{BBF54244-D932-408A-889A-BA87CC0AA63B}" name="Performance annualisée 5 ans" dataDxfId="80"/>
    <tableColumn id="9" xr3:uid="{625F70BB-A6B7-481A-A4AA-3E643A378DC0}" name="Volatilité annualisée 5 ans" dataDxfId="79"/>
    <tableColumn id="10" xr3:uid="{95A07107-E27D-4F2D-A239-935FDCC4F34C}" name="Max Drawdown 5 ans" dataDxfId="78"/>
    <tableColumn id="11" xr3:uid="{315F0D7E-666D-4DA4-9AE3-A99323D551B8}" name="Couple Rendement Risque 5 ans" dataDxfId="77"/>
    <tableColumn id="12" xr3:uid="{26AE84BA-56CE-45A1-8E10-F527ED9F225B}" name="Performance annualisée 3 ans" dataDxfId="76"/>
    <tableColumn id="13" xr3:uid="{68EDCFC8-980B-47D2-B9F4-722F1E0C5F1C}" name="Volatilité annualisée 3 ans" dataDxfId="75"/>
    <tableColumn id="14" xr3:uid="{FAF5198E-94F4-4012-BB72-C6EDBF65EA85}" name="Max Drawdown 3 ans" dataDxfId="74"/>
    <tableColumn id="15" xr3:uid="{626CD374-56DE-45C1-94A9-6ED44FC63781}" name="Couple Rendement Risque 3 ans" dataDxfId="73"/>
    <tableColumn id="16" xr3:uid="{1491F98F-6FCB-4633-8B1D-BD66148E8E5F}" name="Performance annualisée 1 an" dataDxfId="72"/>
    <tableColumn id="17" xr3:uid="{019712E2-35E9-458F-8953-6C0F47980FDF}" name="Volatilité annualisée 1 an" dataDxfId="71"/>
    <tableColumn id="18" xr3:uid="{B2F4AA29-F41F-4470-B869-6496802E4E9F}" name="Max Drawdown 1 an" dataDxfId="70"/>
    <tableColumn id="19" xr3:uid="{7DF01C82-E3A3-488D-B036-732F9FFD646F}" name="Couple Rendement Risque 1 an" dataDxfId="69"/>
    <tableColumn id="20" xr3:uid="{42CD6F46-2172-4798-9514-DCFB2AF2554E}" name="Date de recommandation du fonds"/>
    <tableColumn id="24" xr3:uid="{256123AD-AE7A-4573-B8EA-AEBF1355C63D}" name="Article SFDR (6,8 ou 9)" dataDxfId="68" dataCellStyle="Milliers"/>
    <tableColumn id="26" xr3:uid="{F7A33978-1728-4639-B5C9-7698265284F4}" name="label ISR (oui/non)" dataDxfId="67" dataCellStyle="Milliers"/>
    <tableColumn id="25" xr3:uid="{3E0E48CE-9C20-44B2-861B-40C71BF31F1B}" name="label Finansol (oui/non)" dataDxfId="66" dataCellStyle="Milliers"/>
    <tableColumn id="22" xr3:uid="{D9DFD82D-EBF3-4D3C-BB68-E323C070B338}" name="label Greenfin (oui/non)" dataDxfId="65" dataCellStyle="Milliers"/>
    <tableColumn id="23" xr3:uid="{FB205D17-8556-44DF-A7AA-421634528B55}" name="label CIES (oui/non)" dataDxfId="64"/>
    <tableColumn id="27" xr3:uid="{F0C6B175-CD65-45C1-89D4-674719117CEE}" name="label France Relance (oui/non)" dataDxfId="63" dataCellStyle="Milliers"/>
    <tableColumn id="28" xr3:uid="{CAD64047-B124-453B-B85D-37F008C1E476}" name="Type" dataDxfId="62"/>
  </tableColumns>
  <tableStyleInfo name="Résultats Observatoire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0DBD3FA-29FD-4515-A1BE-59708BFDE1BA}" name="Table11314" displayName="Table11314" ref="A3:AE11" totalsRowShown="0">
  <autoFilter ref="A3:AE11" xr:uid="{00000000-0009-0000-0100-000001000000}"/>
  <sortState xmlns:xlrd2="http://schemas.microsoft.com/office/spreadsheetml/2017/richdata2" ref="A4:AE11">
    <sortCondition ref="A3:A11"/>
  </sortState>
  <tableColumns count="31">
    <tableColumn id="1" xr3:uid="{E94A6E74-DA3A-4797-8320-F7C0DE1601E9}" name="Société" dataDxfId="61"/>
    <tableColumn id="2" xr3:uid="{2EBBEA14-75EE-4674-84E0-937419B79469}" name="Nom du fonds" dataDxfId="60"/>
    <tableColumn id="3" xr3:uid="{6715CEFE-3850-4C9D-AD7D-FA2BD9035BAD}" name="Performance annualisée depuis 01/08" dataDxfId="59" dataCellStyle="Pourcentage"/>
    <tableColumn id="4" xr3:uid="{58700016-0A18-458E-8251-25DCB1668460}" name="Perf. Totale depuis 01/08" dataDxfId="58" dataCellStyle="Pourcentage"/>
    <tableColumn id="5" xr3:uid="{82D25A62-B214-4375-9482-FB0964047E05}" name="Volatilité annualisée depuis 01/08" dataDxfId="57" dataCellStyle="Pourcentage"/>
    <tableColumn id="6" xr3:uid="{50126AEE-2B56-4E96-8F89-0543D6AE55EE}" name="Max Drawdown depuis 01/08" dataDxfId="56" dataCellStyle="Pourcentage"/>
    <tableColumn id="7" xr3:uid="{C7FBA487-2B14-4978-B8CE-5ED99E976B6B}" name="Couple Rendement / Risque depuis 01/08" dataDxfId="55" dataCellStyle="Milliers"/>
    <tableColumn id="33" xr3:uid="{4C7E449C-B922-481E-B2B2-19EF199159D7}" name="Performance annualisée 10 ans" dataDxfId="54" dataCellStyle="Pourcentage"/>
    <tableColumn id="34" xr3:uid="{9082E674-B762-4408-A22E-9236CA4847FB}" name="Volatilité annualisée 10 ans" dataDxfId="53" dataCellStyle="Pourcentage"/>
    <tableColumn id="35" xr3:uid="{FF14084F-040A-4743-BB38-BF3013E96220}" name="Max Drawdown 10 ans" dataDxfId="52" dataCellStyle="Pourcentage"/>
    <tableColumn id="36" xr3:uid="{F8467B8B-062D-4A0E-8F3E-2E52654C6383}" name="Couple Rendement Risque 10 ans" dataDxfId="51" dataCellStyle="Milliers"/>
    <tableColumn id="8" xr3:uid="{354BA1CD-CB61-42A6-B157-4053323C8BFC}" name="Performance annualisée 5 ans" dataDxfId="50" dataCellStyle="Pourcentage"/>
    <tableColumn id="9" xr3:uid="{79D20DB0-9D05-4CD9-AC0F-C02A536C5B9B}" name="Volatilité annualisée 5 ans" dataDxfId="49" dataCellStyle="Pourcentage"/>
    <tableColumn id="10" xr3:uid="{C20ACBC0-7B9B-4236-A088-35587247C6B8}" name="Max Drawdown 5 ans" dataDxfId="48" dataCellStyle="Pourcentage"/>
    <tableColumn id="11" xr3:uid="{A2370D73-4154-4797-9A60-D45CADEDF658}" name="Couple Rendement Risque 5 ans" dataDxfId="47" dataCellStyle="Milliers"/>
    <tableColumn id="12" xr3:uid="{2A5C530E-0729-411F-9B98-0FB7F8B1267E}" name="Performance annualisée 3 ans" dataDxfId="46" dataCellStyle="Pourcentage"/>
    <tableColumn id="13" xr3:uid="{A55EA533-9132-406B-84EB-D87548F887C2}" name="Volatilité annualisée 3 ans" dataDxfId="45" dataCellStyle="Pourcentage"/>
    <tableColumn id="14" xr3:uid="{B6D1CA42-5E1E-4338-B1BB-A0758385D510}" name="Max Drawdown 3 ans" dataDxfId="44" dataCellStyle="Pourcentage"/>
    <tableColumn id="15" xr3:uid="{C2371E89-DB40-4CC9-8509-75FF3AD9AE29}" name="Couple Rendement Risque 3 ans" dataDxfId="43" dataCellStyle="Milliers"/>
    <tableColumn id="16" xr3:uid="{6FF810C0-0C9D-415F-AE79-4981876C37F9}" name="Performance annualisée 1 an" dataDxfId="42" dataCellStyle="Pourcentage"/>
    <tableColumn id="17" xr3:uid="{C99AD578-DE6C-49BF-9A2D-96E3B21C12CC}" name="Volatilité annualisée 1 an" dataDxfId="41" dataCellStyle="Pourcentage"/>
    <tableColumn id="18" xr3:uid="{A6A3D41A-C1E5-4278-A738-89041D7D7232}" name="Max Drawdown 1 an" dataDxfId="40" dataCellStyle="Pourcentage"/>
    <tableColumn id="19" xr3:uid="{48DC948A-B2F0-4BEF-A7B5-5196359F8AF4}" name="Couple Rendement Risque 1 an" dataDxfId="39" dataCellStyle="Milliers"/>
    <tableColumn id="20" xr3:uid="{C0A63EF2-96FF-4DB8-BE6E-AA0EBE54FB64}" name="Date de recommandation du fonds" dataDxfId="38" dataCellStyle="Milliers"/>
    <tableColumn id="24" xr3:uid="{8CAFA52D-B1A3-4524-918E-48F33C5A8E9D}" name="Article SFDR (6,8 ou 9)" dataDxfId="37" dataCellStyle="Milliers"/>
    <tableColumn id="26" xr3:uid="{4766FCE7-77AE-4FD6-885B-7E4E6D06FC91}" name="label ISR (oui/non)" dataDxfId="36" dataCellStyle="Milliers"/>
    <tableColumn id="25" xr3:uid="{635EC70A-DE28-4953-B6E6-50C397762017}" name="label Finansol (oui/non)" dataDxfId="35" dataCellStyle="Milliers"/>
    <tableColumn id="22" xr3:uid="{865586D3-DED3-4600-AA74-53C912B7CA72}" name="label Greenfin (oui/non)" dataDxfId="34" dataCellStyle="Milliers"/>
    <tableColumn id="23" xr3:uid="{4F01A678-8844-4614-AA93-12EEE098917F}" name="label CIES (oui/non)" dataDxfId="33" dataCellStyle="Milliers"/>
    <tableColumn id="27" xr3:uid="{9902A729-C9ED-483A-8581-14563015B15C}" name="label France Relance (oui/non)" dataDxfId="32" dataCellStyle="Milliers"/>
    <tableColumn id="28" xr3:uid="{133AA5FB-5DDD-4852-8BAF-C2C27568018C}" name="Type" dataDxfId="31" dataCellStyle="Milliers"/>
  </tableColumns>
  <tableStyleInfo name="Résultats Observatoire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206873C-BA19-431C-8AF9-F1FB391F2010}" name="Table1131417" displayName="Table1131417" ref="A3:AE18" totalsRowShown="0">
  <autoFilter ref="A3:AE18" xr:uid="{00000000-0009-0000-0100-000001000000}"/>
  <sortState xmlns:xlrd2="http://schemas.microsoft.com/office/spreadsheetml/2017/richdata2" ref="A4:AE18">
    <sortCondition ref="A3:A18"/>
  </sortState>
  <tableColumns count="31">
    <tableColumn id="1" xr3:uid="{196366B7-908C-43BF-9924-1C8FCF011B13}" name="Société" dataDxfId="30"/>
    <tableColumn id="2" xr3:uid="{5406F731-26B7-4AE0-9756-2D59C70C4A0E}" name="Nom du fonds" dataDxfId="29"/>
    <tableColumn id="3" xr3:uid="{C7391CAA-43A9-44C3-82AF-DABDDA86FF37}" name="Performance annualisée depuis 01/08" dataDxfId="28" dataCellStyle="Pourcentage"/>
    <tableColumn id="4" xr3:uid="{33B4DB93-F691-4DC2-A9C7-02CC7C607926}" name="Perf. Totale depuis 01/08" dataDxfId="27" dataCellStyle="Pourcentage"/>
    <tableColumn id="5" xr3:uid="{A346E217-B887-4A1D-B9E8-0825CDBB533D}" name="Volatilité annualisée depuis 01/08" dataDxfId="26" dataCellStyle="Pourcentage"/>
    <tableColumn id="6" xr3:uid="{D294ED18-2D18-4D0D-854C-8647BA82B4DA}" name="Max Drawdown depuis 01/08" dataDxfId="25" dataCellStyle="Pourcentage"/>
    <tableColumn id="7" xr3:uid="{D821484D-8E0D-4CEC-AB25-F8974B3F39B1}" name="Couple Rendement / Risque depuis 01/08" dataDxfId="24" dataCellStyle="Milliers"/>
    <tableColumn id="33" xr3:uid="{3CC06D02-319C-4788-A514-C00A976BD0A6}" name="Performance annualisée 10 ans" dataDxfId="23" dataCellStyle="Pourcentage"/>
    <tableColumn id="34" xr3:uid="{AC287F75-F7C5-4B62-B3D1-D7EEEB68444F}" name="Volatilité annualisée 10 ans" dataDxfId="22" dataCellStyle="Pourcentage"/>
    <tableColumn id="35" xr3:uid="{BACCD8B4-28CE-46AD-B0BB-D4AB280FE8E1}" name="Max Drawdown 10 ans" dataDxfId="21" dataCellStyle="Pourcentage"/>
    <tableColumn id="36" xr3:uid="{F5DD5B6C-3181-42DF-929A-049739529EAC}" name="Couple Rendement Risque 10 ans" dataDxfId="20" dataCellStyle="Milliers"/>
    <tableColumn id="8" xr3:uid="{A1402A24-B225-454F-BD22-4DC340EF2FEE}" name="Performance annualisée 5 ans" dataDxfId="19" dataCellStyle="Pourcentage"/>
    <tableColumn id="9" xr3:uid="{983A746D-6F46-43C7-806A-26D227952620}" name="Volatilité annualisée 5 ans" dataDxfId="18" dataCellStyle="Pourcentage"/>
    <tableColumn id="10" xr3:uid="{42598056-0245-4DB9-8EFF-F2C4481C2E14}" name="Max Drawdown 5 ans" dataDxfId="17" dataCellStyle="Pourcentage"/>
    <tableColumn id="11" xr3:uid="{D76B4C32-4A29-4519-8FE6-748C0B698D81}" name="Couple Rendement Risque 5 ans" dataDxfId="16" dataCellStyle="Milliers"/>
    <tableColumn id="12" xr3:uid="{F28E607D-8971-4B15-8CEF-1B844BFF6380}" name="Performance annualisée 3 ans" dataDxfId="15" dataCellStyle="Pourcentage"/>
    <tableColumn id="13" xr3:uid="{9B72312E-3F50-43B3-AC2A-7F03D6DF867F}" name="Volatilité annualisée 3 ans" dataDxfId="14" dataCellStyle="Pourcentage"/>
    <tableColumn id="14" xr3:uid="{EA501686-6675-4FDA-850A-39905D0E582E}" name="Max Drawdown 3 ans" dataDxfId="13" dataCellStyle="Pourcentage"/>
    <tableColumn id="15" xr3:uid="{39E4CDF1-CF7C-41A9-B434-BE88492510E8}" name="Couple Rendement Risque 3 ans" dataDxfId="12" dataCellStyle="Milliers"/>
    <tableColumn id="16" xr3:uid="{EF03CA80-0BA9-44DF-9EA9-4E8FE9C1ECEB}" name="Performance annualisée 1 an" dataDxfId="11" dataCellStyle="Pourcentage"/>
    <tableColumn id="17" xr3:uid="{E4A33B08-8661-418B-95D1-EE9B4345CD6C}" name="Volatilité annualisée 1 an" dataDxfId="10" dataCellStyle="Pourcentage"/>
    <tableColumn id="18" xr3:uid="{91805D74-741A-47AB-820C-F386E80EBA96}" name="Max Drawdown 1 an" dataDxfId="9" dataCellStyle="Pourcentage"/>
    <tableColumn id="19" xr3:uid="{D46BA78E-104B-4E5B-A31B-592A99B514EA}" name="Couple Rendement Risque 1 an" dataDxfId="8" dataCellStyle="Milliers"/>
    <tableColumn id="20" xr3:uid="{9EBAD345-39AD-40D2-9B96-F29B7C45407D}" name="Date de recommandation du fonds" dataDxfId="7" dataCellStyle="Milliers"/>
    <tableColumn id="24" xr3:uid="{8B014227-2B37-462A-BC71-4C538507C7B1}" name="Article SFDR (6,8 ou 9)" dataDxfId="6" dataCellStyle="Milliers"/>
    <tableColumn id="26" xr3:uid="{75EEB046-FEA1-4B07-AF36-D6C1F48E8688}" name="label ISR (oui/non)" dataDxfId="5" dataCellStyle="Milliers"/>
    <tableColumn id="25" xr3:uid="{C8194914-7C5B-47AF-AFFC-A05A695E44FA}" name="label Finansol (oui/non)" dataDxfId="4" dataCellStyle="Milliers"/>
    <tableColumn id="22" xr3:uid="{BC21E5B4-EEC1-47E1-A199-0A039A77841F}" name="label Greenfin (oui/non)" dataDxfId="3" dataCellStyle="Milliers"/>
    <tableColumn id="23" xr3:uid="{3E36CB49-B48C-4B53-B8E0-C8E79043B7A5}" name="label CIES (oui/non)" dataDxfId="2" dataCellStyle="Milliers"/>
    <tableColumn id="27" xr3:uid="{E36F97A4-2FE1-4C4B-8A20-23A6980A22AE}" name="label France Relance (oui/non)" dataDxfId="1" dataCellStyle="Milliers"/>
    <tableColumn id="28" xr3:uid="{0A3BFE26-6D85-4C8F-8741-03A219B29B51}" name="Type" dataDxfId="0" dataCellStyle="Milliers"/>
  </tableColumns>
  <tableStyleInfo name="Résultats Observatoi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8000"/>
    <pageSetUpPr fitToPage="1"/>
  </sheetPr>
  <dimension ref="A1:AE43"/>
  <sheetViews>
    <sheetView showGridLines="0" tabSelected="1" zoomScale="70" zoomScaleNormal="70" workbookViewId="0">
      <pane xSplit="1" topLeftCell="B1" activePane="topRight" state="frozenSplit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30" width="13.08203125" style="2" customWidth="1"/>
    <col min="31" max="31" width="10.58203125" style="2" customWidth="1"/>
    <col min="32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1" customFormat="1" ht="21" x14ac:dyDescent="0.5">
      <c r="A2" s="17" t="s">
        <v>15</v>
      </c>
      <c r="B2" s="19" t="s">
        <v>16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45" t="s">
        <v>133</v>
      </c>
      <c r="Z3" s="46" t="s">
        <v>134</v>
      </c>
      <c r="AA3" s="46" t="s">
        <v>135</v>
      </c>
      <c r="AB3" s="46" t="s">
        <v>136</v>
      </c>
      <c r="AC3" s="46" t="s">
        <v>137</v>
      </c>
      <c r="AD3" s="46" t="s">
        <v>138</v>
      </c>
      <c r="AE3" s="45" t="s">
        <v>9</v>
      </c>
    </row>
    <row r="4" spans="1:31" s="8" customFormat="1" ht="21.75" customHeight="1" x14ac:dyDescent="0.35">
      <c r="A4" s="12" t="s">
        <v>47</v>
      </c>
      <c r="B4" s="13" t="s">
        <v>51</v>
      </c>
      <c r="C4" s="21">
        <v>8.8269847262096857E-3</v>
      </c>
      <c r="D4" s="21">
        <v>0.17651378061615075</v>
      </c>
      <c r="E4" s="21">
        <v>1.2844694827431717E-3</v>
      </c>
      <c r="F4" s="21">
        <v>2.1722382246511702E-2</v>
      </c>
      <c r="G4" s="57">
        <v>6.8720859816446351</v>
      </c>
      <c r="H4" s="21">
        <v>8.4800527826129901E-3</v>
      </c>
      <c r="I4" s="21">
        <v>1.5116956307091505E-3</v>
      </c>
      <c r="J4" s="21">
        <v>2.1430753161342218E-2</v>
      </c>
      <c r="K4" s="57">
        <v>5.6096297497631307</v>
      </c>
      <c r="L4" s="21">
        <v>2.0171709971959606E-2</v>
      </c>
      <c r="M4" s="21">
        <v>1.7245125777551396E-3</v>
      </c>
      <c r="N4" s="21">
        <v>6.2345302352805627E-3</v>
      </c>
      <c r="O4" s="57">
        <v>11.697050072095067</v>
      </c>
      <c r="P4" s="21">
        <v>3.0371250645491621E-2</v>
      </c>
      <c r="Q4" s="21">
        <v>1.4567995318954198E-3</v>
      </c>
      <c r="R4" s="21">
        <v>2.2822131027388866E-5</v>
      </c>
      <c r="S4" s="57">
        <v>20.84792724087167</v>
      </c>
      <c r="T4" s="21">
        <v>2.0651037625826651E-2</v>
      </c>
      <c r="U4" s="21">
        <v>8.4564655842140311E-4</v>
      </c>
      <c r="V4" s="21">
        <v>2.2822131027388866E-5</v>
      </c>
      <c r="W4" s="57">
        <v>24.420412310760938</v>
      </c>
      <c r="X4" s="31">
        <v>41640</v>
      </c>
      <c r="Y4" s="33">
        <v>8</v>
      </c>
      <c r="Z4" s="33" t="s">
        <v>107</v>
      </c>
      <c r="AA4" s="33" t="s">
        <v>106</v>
      </c>
      <c r="AB4" s="33" t="s">
        <v>108</v>
      </c>
      <c r="AC4" s="8" t="s">
        <v>108</v>
      </c>
      <c r="AD4" s="8" t="s">
        <v>106</v>
      </c>
      <c r="AE4" s="8" t="s">
        <v>29</v>
      </c>
    </row>
    <row r="5" spans="1:31" s="8" customFormat="1" ht="21.75" customHeight="1" x14ac:dyDescent="0.35">
      <c r="A5" s="12" t="s">
        <v>241</v>
      </c>
      <c r="B5" s="13" t="s">
        <v>265</v>
      </c>
      <c r="C5" s="14">
        <v>7.9648748068115172E-3</v>
      </c>
      <c r="D5" s="14">
        <v>0.15805518469069879</v>
      </c>
      <c r="E5" s="14">
        <v>1.6008489471486295E-3</v>
      </c>
      <c r="F5" s="14">
        <v>2.3595972483956697E-2</v>
      </c>
      <c r="G5" s="58">
        <v>4.9754068433491154</v>
      </c>
      <c r="H5" s="14">
        <v>8.9153282210490126E-3</v>
      </c>
      <c r="I5" s="14">
        <v>1.2548793308506799E-3</v>
      </c>
      <c r="J5" s="14">
        <v>2.3017806148160656E-2</v>
      </c>
      <c r="K5" s="58">
        <v>7.1045302937656416</v>
      </c>
      <c r="L5" s="14">
        <v>2.1244123842148799E-2</v>
      </c>
      <c r="M5" s="14">
        <v>1.396796040872051E-3</v>
      </c>
      <c r="N5" s="14">
        <v>6.9493355871719327E-3</v>
      </c>
      <c r="O5" s="58">
        <v>15.209181026089977</v>
      </c>
      <c r="P5" s="14">
        <v>3.1922534076535447E-2</v>
      </c>
      <c r="Q5" s="14">
        <v>1.2910418331929117E-3</v>
      </c>
      <c r="R5" s="14">
        <v>5.0256695738252418E-5</v>
      </c>
      <c r="S5" s="58">
        <v>24.726181023574529</v>
      </c>
      <c r="T5" s="14">
        <v>2.1816455168475191E-2</v>
      </c>
      <c r="U5" s="14">
        <v>8.7351044199418591E-4</v>
      </c>
      <c r="V5" s="14">
        <v>5.0256695738252418E-5</v>
      </c>
      <c r="W5" s="58">
        <v>24.97560889904096</v>
      </c>
      <c r="X5" s="31">
        <v>41640</v>
      </c>
      <c r="Y5" s="33">
        <v>8</v>
      </c>
      <c r="Z5" s="33" t="s">
        <v>107</v>
      </c>
      <c r="AA5" s="33" t="s">
        <v>108</v>
      </c>
      <c r="AB5" s="33" t="s">
        <v>108</v>
      </c>
      <c r="AC5" s="8" t="s">
        <v>107</v>
      </c>
      <c r="AD5" s="8" t="s">
        <v>108</v>
      </c>
      <c r="AE5" s="8" t="s">
        <v>31</v>
      </c>
    </row>
    <row r="6" spans="1:31" s="8" customFormat="1" ht="21.75" customHeight="1" x14ac:dyDescent="0.35">
      <c r="A6" s="12" t="s">
        <v>27</v>
      </c>
      <c r="B6" s="13" t="s">
        <v>28</v>
      </c>
      <c r="C6" s="14">
        <v>9.0015726740195756E-3</v>
      </c>
      <c r="D6" s="14">
        <v>0.18028560669698468</v>
      </c>
      <c r="E6" s="14">
        <v>1.1187013141080923E-3</v>
      </c>
      <c r="F6" s="14">
        <v>2.2861468584405787E-2</v>
      </c>
      <c r="G6" s="58">
        <v>8.0464486458534861</v>
      </c>
      <c r="H6" s="14">
        <v>8.5399707349589349E-3</v>
      </c>
      <c r="I6" s="14">
        <v>1.2017682296250158E-3</v>
      </c>
      <c r="J6" s="14">
        <v>2.2809251952724909E-2</v>
      </c>
      <c r="K6" s="58">
        <v>7.1061711604937638</v>
      </c>
      <c r="L6" s="14">
        <v>2.0435337644309826E-2</v>
      </c>
      <c r="M6" s="14">
        <v>1.3233831298709205E-3</v>
      </c>
      <c r="N6" s="14">
        <v>6.9241421757192823E-3</v>
      </c>
      <c r="O6" s="58">
        <v>15.441739571142213</v>
      </c>
      <c r="P6" s="14">
        <v>3.0770008866904286E-2</v>
      </c>
      <c r="Q6" s="14">
        <v>1.060875069416154E-3</v>
      </c>
      <c r="R6" s="14">
        <v>0</v>
      </c>
      <c r="S6" s="58">
        <v>29.004366069077644</v>
      </c>
      <c r="T6" s="14">
        <v>2.0628430848147916E-2</v>
      </c>
      <c r="U6" s="14">
        <v>5.7704267924842915E-4</v>
      </c>
      <c r="V6" s="14">
        <v>0</v>
      </c>
      <c r="W6" s="58">
        <v>35.748535749583503</v>
      </c>
      <c r="X6" s="31">
        <v>41640</v>
      </c>
      <c r="Y6" s="33">
        <v>8</v>
      </c>
      <c r="Z6" s="33" t="s">
        <v>108</v>
      </c>
      <c r="AA6" s="33" t="s">
        <v>108</v>
      </c>
      <c r="AB6" s="33" t="s">
        <v>108</v>
      </c>
      <c r="AC6" s="8" t="s">
        <v>108</v>
      </c>
      <c r="AD6" s="8" t="s">
        <v>108</v>
      </c>
      <c r="AE6" s="8" t="s">
        <v>31</v>
      </c>
    </row>
    <row r="7" spans="1:31" s="8" customFormat="1" ht="21.75" customHeight="1" x14ac:dyDescent="0.35">
      <c r="A7" s="12" t="s">
        <v>245</v>
      </c>
      <c r="B7" s="13" t="s">
        <v>266</v>
      </c>
      <c r="C7" s="21" t="s">
        <v>106</v>
      </c>
      <c r="D7" s="21" t="s">
        <v>106</v>
      </c>
      <c r="E7" s="21" t="s">
        <v>106</v>
      </c>
      <c r="F7" s="21" t="s">
        <v>106</v>
      </c>
      <c r="G7" s="57" t="s">
        <v>106</v>
      </c>
      <c r="H7" s="21">
        <v>9.4035440831248263E-3</v>
      </c>
      <c r="I7" s="21">
        <v>1.2218289700957571E-3</v>
      </c>
      <c r="J7" s="21">
        <v>1.7933954706611643E-2</v>
      </c>
      <c r="K7" s="57">
        <v>7.6962850884014093</v>
      </c>
      <c r="L7" s="21">
        <v>2.1348484572274451E-2</v>
      </c>
      <c r="M7" s="21">
        <v>1.3055289731123531E-3</v>
      </c>
      <c r="N7" s="21">
        <v>5.5058721156000046E-3</v>
      </c>
      <c r="O7" s="57">
        <v>16.352363687019615</v>
      </c>
      <c r="P7" s="21">
        <v>3.1559473891595857E-2</v>
      </c>
      <c r="Q7" s="21">
        <v>1.0018043117658952E-3</v>
      </c>
      <c r="R7" s="21">
        <v>1.2915584445929152E-4</v>
      </c>
      <c r="S7" s="57">
        <v>31.502633319640548</v>
      </c>
      <c r="T7" s="21">
        <v>2.1729255603156972E-2</v>
      </c>
      <c r="U7" s="21">
        <v>6.1595943181240323E-4</v>
      </c>
      <c r="V7" s="21">
        <v>2.8248881025160248E-6</v>
      </c>
      <c r="W7" s="57">
        <v>35.277088848563714</v>
      </c>
      <c r="X7" s="31">
        <v>46022</v>
      </c>
      <c r="Y7" s="33">
        <v>8</v>
      </c>
      <c r="Z7" s="33" t="s">
        <v>32</v>
      </c>
      <c r="AA7" s="33" t="s">
        <v>32</v>
      </c>
      <c r="AB7" s="33" t="s">
        <v>32</v>
      </c>
      <c r="AC7" s="8" t="s">
        <v>32</v>
      </c>
      <c r="AD7" s="8" t="s">
        <v>32</v>
      </c>
      <c r="AE7" s="8" t="s">
        <v>247</v>
      </c>
    </row>
    <row r="8" spans="1:31" s="8" customFormat="1" ht="21.75" customHeight="1" x14ac:dyDescent="0.35">
      <c r="A8" s="12" t="s">
        <v>131</v>
      </c>
      <c r="B8" s="13" t="s">
        <v>52</v>
      </c>
      <c r="C8" s="21">
        <v>9.9798397475019396E-3</v>
      </c>
      <c r="D8" s="21">
        <v>0.20163275217327969</v>
      </c>
      <c r="E8" s="21">
        <v>1.7087239396037942E-3</v>
      </c>
      <c r="F8" s="21">
        <v>1.8444002360011404E-2</v>
      </c>
      <c r="G8" s="57">
        <v>5.8405219919936213</v>
      </c>
      <c r="H8" s="21">
        <v>9.0672833465992309E-3</v>
      </c>
      <c r="I8" s="21">
        <v>1.2623267389990521E-3</v>
      </c>
      <c r="J8" s="21">
        <v>1.8444002360011404E-2</v>
      </c>
      <c r="K8" s="57">
        <v>7.182992379444511</v>
      </c>
      <c r="L8" s="21">
        <v>2.0763705741545735E-2</v>
      </c>
      <c r="M8" s="21">
        <v>1.4458236203350645E-3</v>
      </c>
      <c r="N8" s="21">
        <v>5.9972392096722558E-3</v>
      </c>
      <c r="O8" s="57">
        <v>14.361160967016032</v>
      </c>
      <c r="P8" s="21">
        <v>3.085470967855386E-2</v>
      </c>
      <c r="Q8" s="21">
        <v>1.2588211119582593E-3</v>
      </c>
      <c r="R8" s="21">
        <v>0</v>
      </c>
      <c r="S8" s="57">
        <v>24.510797749932365</v>
      </c>
      <c r="T8" s="21">
        <v>2.0963434859737395E-2</v>
      </c>
      <c r="U8" s="21">
        <v>7.702303366552666E-4</v>
      </c>
      <c r="V8" s="21">
        <v>0</v>
      </c>
      <c r="W8" s="57">
        <v>27.21709839522984</v>
      </c>
      <c r="X8" s="31">
        <v>41640</v>
      </c>
      <c r="Y8" s="33">
        <v>8</v>
      </c>
      <c r="Z8" s="33" t="s">
        <v>107</v>
      </c>
      <c r="AA8" s="33" t="s">
        <v>108</v>
      </c>
      <c r="AB8" s="33" t="s">
        <v>108</v>
      </c>
      <c r="AC8" s="8" t="s">
        <v>108</v>
      </c>
      <c r="AD8" s="8" t="s">
        <v>108</v>
      </c>
      <c r="AE8" s="8" t="s">
        <v>31</v>
      </c>
    </row>
    <row r="9" spans="1:31" s="8" customFormat="1" ht="21.75" customHeight="1" x14ac:dyDescent="0.35">
      <c r="A9" s="12" t="s">
        <v>149</v>
      </c>
      <c r="B9" s="13" t="s">
        <v>209</v>
      </c>
      <c r="C9" s="14" t="s">
        <v>106</v>
      </c>
      <c r="D9" s="14" t="s">
        <v>106</v>
      </c>
      <c r="E9" s="14" t="s">
        <v>106</v>
      </c>
      <c r="F9" s="14" t="s">
        <v>106</v>
      </c>
      <c r="G9" s="57" t="s">
        <v>106</v>
      </c>
      <c r="H9" s="14" t="s">
        <v>106</v>
      </c>
      <c r="I9" s="14" t="s">
        <v>106</v>
      </c>
      <c r="J9" s="14" t="s">
        <v>106</v>
      </c>
      <c r="K9" s="57" t="s">
        <v>106</v>
      </c>
      <c r="L9" s="14">
        <v>1.8947148798162505E-2</v>
      </c>
      <c r="M9" s="14">
        <v>1.5979490621492625E-3</v>
      </c>
      <c r="N9" s="14">
        <v>8.3556940241903514E-3</v>
      </c>
      <c r="O9" s="57">
        <v>11.857166944156743</v>
      </c>
      <c r="P9" s="14">
        <v>2.9113988413593583E-2</v>
      </c>
      <c r="Q9" s="14">
        <v>1.5115556998382656E-3</v>
      </c>
      <c r="R9" s="14">
        <v>0</v>
      </c>
      <c r="S9" s="57">
        <v>19.26094315724438</v>
      </c>
      <c r="T9" s="14">
        <v>1.9216978018587128E-2</v>
      </c>
      <c r="U9" s="14">
        <v>9.7167946930602604E-4</v>
      </c>
      <c r="V9" s="14">
        <v>0</v>
      </c>
      <c r="W9" s="57">
        <v>19.777075286268939</v>
      </c>
      <c r="X9" s="31" t="s">
        <v>106</v>
      </c>
      <c r="Y9" s="33" t="s">
        <v>106</v>
      </c>
      <c r="Z9" s="33" t="s">
        <v>106</v>
      </c>
      <c r="AA9" s="33" t="s">
        <v>106</v>
      </c>
      <c r="AB9" s="33" t="s">
        <v>106</v>
      </c>
      <c r="AC9" s="8" t="s">
        <v>106</v>
      </c>
      <c r="AD9" s="8" t="s">
        <v>106</v>
      </c>
      <c r="AE9" s="8" t="s">
        <v>106</v>
      </c>
    </row>
    <row r="10" spans="1:31" s="8" customFormat="1" ht="21.75" customHeight="1" x14ac:dyDescent="0.35">
      <c r="A10" s="12" t="s">
        <v>48</v>
      </c>
      <c r="B10" s="13" t="s">
        <v>109</v>
      </c>
      <c r="C10" s="14">
        <v>5.3675260115841894E-3</v>
      </c>
      <c r="D10" s="14">
        <v>0.10284000000000004</v>
      </c>
      <c r="E10" s="14">
        <v>9.4430239939117047E-4</v>
      </c>
      <c r="F10" s="14">
        <v>4.2919484007097448E-2</v>
      </c>
      <c r="G10" s="57">
        <v>5.6841177307659585</v>
      </c>
      <c r="H10" s="14">
        <v>5.7727056492733464E-3</v>
      </c>
      <c r="I10" s="14">
        <v>1.1157860407680687E-3</v>
      </c>
      <c r="J10" s="14">
        <v>4.1549809827500173E-2</v>
      </c>
      <c r="K10" s="57">
        <v>5.1736672071104373</v>
      </c>
      <c r="L10" s="14">
        <v>1.835145663619131E-2</v>
      </c>
      <c r="M10" s="14">
        <v>1.3041858598079375E-3</v>
      </c>
      <c r="N10" s="14">
        <v>9.0367428003973269E-3</v>
      </c>
      <c r="O10" s="57">
        <v>14.071197366680435</v>
      </c>
      <c r="P10" s="14">
        <v>2.8712292310070442E-2</v>
      </c>
      <c r="Q10" s="14">
        <v>1.2491008120603601E-3</v>
      </c>
      <c r="R10" s="14">
        <v>8.5118621712468637E-4</v>
      </c>
      <c r="S10" s="57">
        <v>22.98636910075356</v>
      </c>
      <c r="T10" s="14">
        <v>1.9256319322840776E-2</v>
      </c>
      <c r="U10" s="14">
        <v>7.9996255820947526E-4</v>
      </c>
      <c r="V10" s="14">
        <v>1.3807704699222688E-4</v>
      </c>
      <c r="W10" s="57">
        <v>24.071525754832123</v>
      </c>
      <c r="X10" s="31">
        <v>45291</v>
      </c>
      <c r="Y10" s="33">
        <v>8</v>
      </c>
      <c r="Z10" s="33" t="s">
        <v>108</v>
      </c>
      <c r="AA10" s="33" t="s">
        <v>106</v>
      </c>
      <c r="AB10" s="33" t="s">
        <v>108</v>
      </c>
      <c r="AC10" s="8" t="s">
        <v>108</v>
      </c>
      <c r="AD10" s="8" t="s">
        <v>106</v>
      </c>
      <c r="AE10" s="8" t="s">
        <v>33</v>
      </c>
    </row>
    <row r="11" spans="1:31" s="8" customFormat="1" ht="21.75" customHeight="1" x14ac:dyDescent="0.35">
      <c r="A11" s="12" t="s">
        <v>49</v>
      </c>
      <c r="B11" s="13" t="s">
        <v>53</v>
      </c>
      <c r="C11" s="14">
        <v>7.0170421199728938E-3</v>
      </c>
      <c r="D11" s="14">
        <v>0.13807746150256639</v>
      </c>
      <c r="E11" s="14">
        <v>2.1278160086983587E-3</v>
      </c>
      <c r="F11" s="14">
        <v>2.8477402369460329E-2</v>
      </c>
      <c r="G11" s="57">
        <v>3.2977673310510545</v>
      </c>
      <c r="H11" s="14">
        <v>6.937661450056698E-3</v>
      </c>
      <c r="I11" s="14">
        <v>1.4646550907234366E-3</v>
      </c>
      <c r="J11" s="14">
        <v>2.7196836555360426E-2</v>
      </c>
      <c r="K11" s="57">
        <v>4.7367202654039051</v>
      </c>
      <c r="L11" s="14">
        <v>1.7844787186531486E-2</v>
      </c>
      <c r="M11" s="14">
        <v>1.5440581457439801E-3</v>
      </c>
      <c r="N11" s="14">
        <v>8.241881298992209E-3</v>
      </c>
      <c r="O11" s="57">
        <v>11.557069424955662</v>
      </c>
      <c r="P11" s="14">
        <v>2.7230320314812539E-2</v>
      </c>
      <c r="Q11" s="14">
        <v>1.3286424171559839E-3</v>
      </c>
      <c r="R11" s="14">
        <v>4.191817572104385E-5</v>
      </c>
      <c r="S11" s="57">
        <v>20.494844935855809</v>
      </c>
      <c r="T11" s="14">
        <v>1.7067661140387713E-2</v>
      </c>
      <c r="U11" s="14">
        <v>9.2509496271448756E-4</v>
      </c>
      <c r="V11" s="14">
        <v>4.1687510421928555E-5</v>
      </c>
      <c r="W11" s="57">
        <v>18.449631473839634</v>
      </c>
      <c r="X11" s="31">
        <v>43465</v>
      </c>
      <c r="Y11" s="33">
        <v>8</v>
      </c>
      <c r="Z11" s="33" t="s">
        <v>107</v>
      </c>
      <c r="AA11" s="33" t="s">
        <v>106</v>
      </c>
      <c r="AB11" s="33" t="s">
        <v>108</v>
      </c>
      <c r="AC11" s="8" t="s">
        <v>108</v>
      </c>
      <c r="AD11" s="8" t="s">
        <v>106</v>
      </c>
      <c r="AE11" s="8" t="s">
        <v>31</v>
      </c>
    </row>
    <row r="12" spans="1:31" s="8" customFormat="1" ht="21.75" customHeight="1" x14ac:dyDescent="0.35">
      <c r="A12" s="12" t="s">
        <v>50</v>
      </c>
      <c r="B12" s="13" t="s">
        <v>105</v>
      </c>
      <c r="C12" s="14">
        <v>8.709116307479059E-3</v>
      </c>
      <c r="D12" s="14">
        <v>0.17397378277153575</v>
      </c>
      <c r="E12" s="14">
        <v>1.7749491191981156E-3</v>
      </c>
      <c r="F12" s="14">
        <v>2.353153370328355E-2</v>
      </c>
      <c r="G12" s="57">
        <v>4.9066850498867556</v>
      </c>
      <c r="H12" s="14">
        <v>8.4147201327273713E-3</v>
      </c>
      <c r="I12" s="14">
        <v>1.3056446484661665E-3</v>
      </c>
      <c r="J12" s="14">
        <v>2.3376980423855005E-2</v>
      </c>
      <c r="K12" s="57">
        <v>6.4448777411317391</v>
      </c>
      <c r="L12" s="14">
        <v>2.0398021193078986E-2</v>
      </c>
      <c r="M12" s="14">
        <v>1.4928582551454136E-3</v>
      </c>
      <c r="N12" s="14">
        <v>6.4672010121656145E-3</v>
      </c>
      <c r="O12" s="57">
        <v>13.663736073249696</v>
      </c>
      <c r="P12" s="14">
        <v>3.0591993059225775E-2</v>
      </c>
      <c r="Q12" s="14">
        <v>1.3564803547060451E-3</v>
      </c>
      <c r="R12" s="14">
        <v>3.1521153559568075E-5</v>
      </c>
      <c r="S12" s="57">
        <v>22.552477780524278</v>
      </c>
      <c r="T12" s="14">
        <v>2.0901535813723893E-2</v>
      </c>
      <c r="U12" s="14">
        <v>7.9084948110463263E-4</v>
      </c>
      <c r="V12" s="14">
        <v>0</v>
      </c>
      <c r="W12" s="57">
        <v>26.429221126287285</v>
      </c>
      <c r="X12" s="31">
        <v>42370</v>
      </c>
      <c r="Y12" s="33">
        <v>8</v>
      </c>
      <c r="Z12" s="33" t="s">
        <v>30</v>
      </c>
      <c r="AA12" s="33" t="s">
        <v>32</v>
      </c>
      <c r="AB12" s="33" t="s">
        <v>32</v>
      </c>
      <c r="AC12" s="8" t="s">
        <v>32</v>
      </c>
      <c r="AD12" s="8" t="s">
        <v>32</v>
      </c>
      <c r="AE12" s="8" t="s">
        <v>31</v>
      </c>
    </row>
    <row r="13" spans="1:31" s="8" customFormat="1" ht="21.75" customHeight="1" x14ac:dyDescent="0.35">
      <c r="A13" s="12" t="s">
        <v>150</v>
      </c>
      <c r="B13" s="13" t="s">
        <v>210</v>
      </c>
      <c r="C13" s="14">
        <v>8.8820932558086874E-3</v>
      </c>
      <c r="D13" s="14">
        <v>0.17770312089764984</v>
      </c>
      <c r="E13" s="14">
        <v>3.1036477550844088E-3</v>
      </c>
      <c r="F13" s="14">
        <v>2.411014203986768E-2</v>
      </c>
      <c r="G13" s="57">
        <v>2.8618238784533472</v>
      </c>
      <c r="H13" s="14">
        <v>8.6999482179037635E-3</v>
      </c>
      <c r="I13" s="14">
        <v>1.3414342031976346E-3</v>
      </c>
      <c r="J13" s="14">
        <v>2.4105271143871267E-2</v>
      </c>
      <c r="K13" s="57">
        <v>6.4855571724392602</v>
      </c>
      <c r="L13" s="14">
        <v>2.0773377581829511E-2</v>
      </c>
      <c r="M13" s="14">
        <v>1.4875188911030292E-3</v>
      </c>
      <c r="N13" s="14">
        <v>8.1300977981820111E-3</v>
      </c>
      <c r="O13" s="57">
        <v>13.965118497705651</v>
      </c>
      <c r="P13" s="14">
        <v>3.1600851700920085E-2</v>
      </c>
      <c r="Q13" s="14">
        <v>1.2368752702293789E-3</v>
      </c>
      <c r="R13" s="14">
        <v>0</v>
      </c>
      <c r="S13" s="57">
        <v>25.548939704372696</v>
      </c>
      <c r="T13" s="14">
        <v>2.1838231223814342E-2</v>
      </c>
      <c r="U13" s="14">
        <v>7.4707280464285982E-4</v>
      </c>
      <c r="V13" s="14">
        <v>0</v>
      </c>
      <c r="W13" s="57">
        <v>29.231730947901614</v>
      </c>
      <c r="X13" s="31" t="s">
        <v>106</v>
      </c>
      <c r="Y13" s="33">
        <v>8</v>
      </c>
      <c r="Z13" s="33" t="s">
        <v>108</v>
      </c>
      <c r="AA13" s="33" t="s">
        <v>108</v>
      </c>
      <c r="AB13" s="33" t="s">
        <v>108</v>
      </c>
      <c r="AC13" s="8" t="s">
        <v>108</v>
      </c>
      <c r="AD13" s="8" t="s">
        <v>108</v>
      </c>
      <c r="AE13" s="8" t="s">
        <v>29</v>
      </c>
    </row>
    <row r="14" spans="1:31" s="8" customFormat="1" ht="21.75" customHeight="1" x14ac:dyDescent="0.35">
      <c r="A14" s="12"/>
      <c r="B14" s="13"/>
      <c r="C14" s="14"/>
      <c r="D14" s="14"/>
      <c r="E14" s="14"/>
      <c r="F14" s="14"/>
      <c r="G14" s="15"/>
      <c r="H14" s="14"/>
      <c r="I14" s="14"/>
      <c r="J14" s="14"/>
      <c r="K14" s="15"/>
      <c r="L14" s="14"/>
      <c r="M14" s="14"/>
      <c r="N14" s="14"/>
      <c r="O14" s="25"/>
      <c r="P14" s="14"/>
      <c r="Q14" s="14"/>
      <c r="R14" s="14"/>
      <c r="S14" s="25"/>
      <c r="T14" s="14"/>
      <c r="U14" s="14"/>
      <c r="V14" s="14"/>
      <c r="W14" s="25"/>
      <c r="X14" s="16"/>
      <c r="Y14" s="15"/>
      <c r="Z14" s="28"/>
      <c r="AA14" s="15"/>
      <c r="AB14" s="15"/>
      <c r="AC14" s="15"/>
      <c r="AD14" s="15"/>
    </row>
    <row r="15" spans="1:31" s="8" customFormat="1" ht="21.5" customHeight="1" x14ac:dyDescent="0.35">
      <c r="A15" s="36" t="s">
        <v>2</v>
      </c>
      <c r="B15" s="36" t="s">
        <v>3</v>
      </c>
      <c r="C15" s="37">
        <f>AVERAGE(Table11[Performance annualisée depuis 01/08])</f>
        <v>8.2186312061734434E-3</v>
      </c>
      <c r="D15" s="37">
        <f>AVERAGE(Table11[Perf. Totale depuis 01/08])</f>
        <v>0.16363521116860824</v>
      </c>
      <c r="E15" s="37">
        <f>AVERAGE(Table11[Volatilité annualisée depuis 01/08])</f>
        <v>1.707932370746968E-3</v>
      </c>
      <c r="F15" s="37">
        <f>AVERAGE(Table11[Max Drawdown depuis 01/08])</f>
        <v>2.570779847432432E-2</v>
      </c>
      <c r="G15" s="42">
        <f>AVERAGE(Table11[Couple Rendement / Risque depuis 01/08])</f>
        <v>5.3106071816247473</v>
      </c>
      <c r="H15" s="37">
        <f>AVERAGE(Table11[Performance annualisée 10 ans])</f>
        <v>8.2479127353673534E-3</v>
      </c>
      <c r="I15" s="37">
        <f>AVERAGE(Table11[Volatilité annualisée 10 ans])</f>
        <v>1.2977798759372179E-3</v>
      </c>
      <c r="J15" s="37">
        <f>AVERAGE(Table11[Max Drawdown 10 ans])</f>
        <v>2.4429407364381966E-2</v>
      </c>
      <c r="K15" s="42">
        <f>AVERAGE(Table11[Couple Rendement Risque 10 ans])</f>
        <v>6.3933812286615339</v>
      </c>
      <c r="L15" s="37">
        <f>AVERAGE(Table11[Performance annualisée 5 ans])</f>
        <v>2.002781531680322E-2</v>
      </c>
      <c r="M15" s="37">
        <f>AVERAGE(Table11[Volatilité annualisée 5 ans])</f>
        <v>1.4622614555895152E-3</v>
      </c>
      <c r="N15" s="37">
        <f>AVERAGE(Table11[Max Drawdown 5 ans])</f>
        <v>7.1842736257371545E-3</v>
      </c>
      <c r="O15" s="42">
        <f>AVERAGE(Table11[Couple Rendement Risque 5 ans])</f>
        <v>13.817578363011108</v>
      </c>
      <c r="P15" s="37">
        <f>AVERAGE(Table11[Performance annualisée 3 ans])</f>
        <v>3.0272742295770351E-2</v>
      </c>
      <c r="Q15" s="37">
        <f>AVERAGE(Table11[Volatilité annualisée 3 ans])</f>
        <v>1.2751996412218674E-3</v>
      </c>
      <c r="R15" s="37">
        <f>AVERAGE(Table11[Max Drawdown 3 ans])</f>
        <v>1.126860217630231E-4</v>
      </c>
      <c r="S15" s="42">
        <f>AVERAGE(Table11[Couple Rendement Risque 3 ans])</f>
        <v>24.143548008184744</v>
      </c>
      <c r="T15" s="37">
        <f>AVERAGE(Table11[Performance annualisée 1 an])</f>
        <v>2.0406933962469797E-2</v>
      </c>
      <c r="U15" s="37">
        <f>AVERAGE(Table11[Volatilité annualisée 1 an])</f>
        <v>7.9170487241091701E-4</v>
      </c>
      <c r="V15" s="37">
        <f>AVERAGE(Table11[Max Drawdown 1 an])</f>
        <v>2.5566827228231277E-5</v>
      </c>
      <c r="W15" s="42">
        <f>AVERAGE(Table11[Couple Rendement Risque 1 an])</f>
        <v>26.559792879230855</v>
      </c>
      <c r="X15" s="38"/>
      <c r="Y15" s="37"/>
      <c r="Z15" s="37"/>
      <c r="AA15" s="37"/>
      <c r="AB15" s="37"/>
      <c r="AC15" s="37"/>
      <c r="AD15" s="37"/>
    </row>
    <row r="16" spans="1:31" s="8" customFormat="1" ht="21.75" customHeight="1" x14ac:dyDescent="0.35">
      <c r="A16" s="7"/>
      <c r="B16" s="2"/>
      <c r="C16" s="2"/>
      <c r="D16" s="2"/>
      <c r="E16" s="5"/>
      <c r="F16" s="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1"/>
    </row>
    <row r="17" spans="1:31" s="1" customForma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x14ac:dyDescent="0.35">
      <c r="C18" s="6"/>
      <c r="E18" s="2"/>
      <c r="F18" s="2"/>
      <c r="G18" s="6"/>
      <c r="H18" s="6"/>
      <c r="I18" s="6"/>
      <c r="J18" s="6"/>
      <c r="K18" s="6"/>
      <c r="T18" s="6"/>
    </row>
    <row r="19" spans="1:31" x14ac:dyDescent="0.35">
      <c r="B19" s="2" t="s">
        <v>21</v>
      </c>
      <c r="E19" s="2"/>
      <c r="F19" s="2"/>
    </row>
    <row r="20" spans="1:31" x14ac:dyDescent="0.35">
      <c r="E20" s="2"/>
      <c r="F20" s="2"/>
      <c r="AC20" s="6"/>
    </row>
    <row r="21" spans="1:31" x14ac:dyDescent="0.35">
      <c r="E21" s="2"/>
      <c r="F21" s="2"/>
    </row>
    <row r="22" spans="1:31" x14ac:dyDescent="0.35">
      <c r="E22" s="2"/>
      <c r="F22" s="2"/>
    </row>
    <row r="23" spans="1:31" x14ac:dyDescent="0.35">
      <c r="E23" s="2"/>
      <c r="F23" s="2"/>
    </row>
    <row r="24" spans="1:31" x14ac:dyDescent="0.35">
      <c r="E24" s="2"/>
      <c r="F24" s="2"/>
    </row>
    <row r="25" spans="1:31" x14ac:dyDescent="0.35">
      <c r="E25" s="2"/>
      <c r="F25" s="2"/>
    </row>
    <row r="26" spans="1:31" x14ac:dyDescent="0.35">
      <c r="E26" s="2"/>
      <c r="F26" s="2"/>
    </row>
    <row r="27" spans="1:31" x14ac:dyDescent="0.35">
      <c r="E27" s="2"/>
      <c r="F27" s="2"/>
    </row>
    <row r="28" spans="1:31" x14ac:dyDescent="0.35">
      <c r="E28" s="2"/>
      <c r="F28" s="2"/>
    </row>
    <row r="29" spans="1:31" x14ac:dyDescent="0.35">
      <c r="E29" s="2"/>
      <c r="F29" s="2"/>
    </row>
    <row r="30" spans="1:31" x14ac:dyDescent="0.35">
      <c r="E30" s="2"/>
      <c r="F30" s="2"/>
    </row>
    <row r="31" spans="1:31" x14ac:dyDescent="0.35">
      <c r="E31" s="2"/>
      <c r="F31" s="2"/>
    </row>
    <row r="32" spans="1:31" x14ac:dyDescent="0.35">
      <c r="E32" s="2"/>
      <c r="F32" s="2"/>
    </row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</sheetData>
  <sheetProtection selectLockedCells="1"/>
  <phoneticPr fontId="8" type="noConversion"/>
  <conditionalFormatting sqref="C4:C14">
    <cfRule type="iconSet" priority="434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14">
    <cfRule type="iconSet" priority="434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14">
    <cfRule type="iconSet" priority="435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14">
    <cfRule type="iconSet" priority="435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13">
    <cfRule type="iconSet" priority="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14 K14">
    <cfRule type="iconSet" priority="435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3:X23">
    <cfRule type="iconSet" priority="155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14">
    <cfRule type="iconSet" priority="435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4">
    <cfRule type="iconSet" priority="435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14">
    <cfRule type="iconSet" priority="436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3">
    <cfRule type="iconSet" priority="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14">
    <cfRule type="iconSet" priority="436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14">
    <cfRule type="iconSet" priority="4364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14">
    <cfRule type="iconSet" priority="436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3">
    <cfRule type="iconSet" priority="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14">
    <cfRule type="iconSet" priority="436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14">
    <cfRule type="iconSet" priority="436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14">
    <cfRule type="iconSet" priority="437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14">
    <cfRule type="iconSet" priority="437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3">
    <cfRule type="iconSet" priority="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14">
    <cfRule type="iconSet" priority="437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14">
    <cfRule type="iconSet" priority="437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14">
    <cfRule type="iconSet" priority="437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14">
    <cfRule type="iconSet" priority="438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3">
    <cfRule type="iconSet" priority="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14">
    <cfRule type="iconSet" priority="438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8" orientation="landscape" horizontalDpi="4294967292" verticalDpi="4294967292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8000"/>
    <pageSetUpPr fitToPage="1"/>
  </sheetPr>
  <dimension ref="A1:AE52"/>
  <sheetViews>
    <sheetView showGridLines="0" zoomScale="70" zoomScaleNormal="70" workbookViewId="0">
      <pane xSplit="1" topLeftCell="B1" activePane="topRight" state="frozenSplit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1" customFormat="1" ht="21" x14ac:dyDescent="0.5">
      <c r="A2" s="17" t="s">
        <v>15</v>
      </c>
      <c r="B2" s="19" t="s">
        <v>17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8" customFormat="1" ht="21.75" customHeight="1" x14ac:dyDescent="0.35">
      <c r="A4" s="12" t="s">
        <v>55</v>
      </c>
      <c r="B4" s="13" t="s">
        <v>61</v>
      </c>
      <c r="C4" s="21">
        <v>3.2378327701235943E-2</v>
      </c>
      <c r="D4" s="21">
        <v>0.80292074799643798</v>
      </c>
      <c r="E4" s="21">
        <v>3.0062494841746792E-2</v>
      </c>
      <c r="F4" s="21">
        <v>0.18590843183996472</v>
      </c>
      <c r="G4" s="57">
        <v>1.077033954489806</v>
      </c>
      <c r="H4" s="21">
        <v>1.116139374095293E-2</v>
      </c>
      <c r="I4" s="21">
        <v>3.0328207566193862E-2</v>
      </c>
      <c r="J4" s="21">
        <v>0.18590843183996472</v>
      </c>
      <c r="K4" s="57">
        <v>0.36802022396451389</v>
      </c>
      <c r="L4" s="21">
        <v>1.8285626461627125E-3</v>
      </c>
      <c r="M4" s="21">
        <v>3.3275195931242091E-2</v>
      </c>
      <c r="N4" s="21">
        <v>0.18590843183996472</v>
      </c>
      <c r="O4" s="57">
        <v>5.4952723642593924E-2</v>
      </c>
      <c r="P4" s="21">
        <v>5.2821423988547167E-2</v>
      </c>
      <c r="Q4" s="21">
        <v>2.4490547239092875E-2</v>
      </c>
      <c r="R4" s="21">
        <v>2.8082769229252284E-2</v>
      </c>
      <c r="S4" s="57">
        <v>2.1568086442850616</v>
      </c>
      <c r="T4" s="21">
        <v>2.51095466898974E-2</v>
      </c>
      <c r="U4" s="21">
        <v>2.1368984261394781E-2</v>
      </c>
      <c r="V4" s="21">
        <v>2.8082769229252284E-2</v>
      </c>
      <c r="W4" s="57">
        <v>1.1750463373806832</v>
      </c>
      <c r="X4" s="31">
        <v>43281</v>
      </c>
      <c r="Y4" s="33">
        <v>8</v>
      </c>
      <c r="Z4" s="33" t="s">
        <v>108</v>
      </c>
      <c r="AA4" s="33" t="s">
        <v>106</v>
      </c>
      <c r="AB4" s="33" t="s">
        <v>108</v>
      </c>
      <c r="AC4" s="8" t="s">
        <v>108</v>
      </c>
      <c r="AD4" s="8" t="s">
        <v>106</v>
      </c>
      <c r="AE4" s="8" t="s">
        <v>33</v>
      </c>
    </row>
    <row r="5" spans="1:31" s="8" customFormat="1" ht="21.75" customHeight="1" x14ac:dyDescent="0.35">
      <c r="A5" s="12" t="s">
        <v>241</v>
      </c>
      <c r="B5" s="13" t="s">
        <v>267</v>
      </c>
      <c r="C5" s="14">
        <v>3.8006088041369068E-2</v>
      </c>
      <c r="D5" s="14">
        <v>0.99364701211038331</v>
      </c>
      <c r="E5" s="14">
        <v>3.0924038893415478E-2</v>
      </c>
      <c r="F5" s="14">
        <v>0.12268388545760806</v>
      </c>
      <c r="G5" s="58">
        <v>1.2290143655672849</v>
      </c>
      <c r="H5" s="14">
        <v>1.9538775795636676E-2</v>
      </c>
      <c r="I5" s="14">
        <v>2.7872542602566601E-2</v>
      </c>
      <c r="J5" s="14">
        <v>0.12268388545760806</v>
      </c>
      <c r="K5" s="58">
        <v>0.70100442841685628</v>
      </c>
      <c r="L5" s="14">
        <v>2.659703289609161E-2</v>
      </c>
      <c r="M5" s="14">
        <v>3.1579978769598789E-2</v>
      </c>
      <c r="N5" s="14">
        <v>0.12268388545760806</v>
      </c>
      <c r="O5" s="58">
        <v>0.84221186752968535</v>
      </c>
      <c r="P5" s="14">
        <v>5.827190802516502E-2</v>
      </c>
      <c r="Q5" s="14">
        <v>3.0157261640268079E-2</v>
      </c>
      <c r="R5" s="14">
        <v>2.7106629392971281E-2</v>
      </c>
      <c r="S5" s="58">
        <v>1.9322678802957463</v>
      </c>
      <c r="T5" s="14">
        <v>3.2937949880948558E-2</v>
      </c>
      <c r="U5" s="14">
        <v>2.6523125851784235E-2</v>
      </c>
      <c r="V5" s="14">
        <v>2.7106629392971281E-2</v>
      </c>
      <c r="W5" s="58">
        <v>1.2418577683871599</v>
      </c>
      <c r="X5" s="31">
        <v>41640</v>
      </c>
      <c r="Y5" s="33">
        <v>8</v>
      </c>
      <c r="Z5" s="33" t="s">
        <v>108</v>
      </c>
      <c r="AA5" s="63" t="s">
        <v>108</v>
      </c>
      <c r="AB5" s="63" t="s">
        <v>108</v>
      </c>
      <c r="AC5" s="8" t="s">
        <v>108</v>
      </c>
      <c r="AD5" s="8" t="s">
        <v>108</v>
      </c>
      <c r="AE5" s="8" t="s">
        <v>33</v>
      </c>
    </row>
    <row r="6" spans="1:31" s="8" customFormat="1" ht="21.75" customHeight="1" x14ac:dyDescent="0.35">
      <c r="A6" s="12" t="s">
        <v>27</v>
      </c>
      <c r="B6" s="13" t="s">
        <v>36</v>
      </c>
      <c r="C6" s="14">
        <v>2.0351555493687723E-2</v>
      </c>
      <c r="D6" s="14">
        <v>0.45159318696891515</v>
      </c>
      <c r="E6" s="14">
        <v>2.8756761963861625E-2</v>
      </c>
      <c r="F6" s="14">
        <v>0.14539115504906067</v>
      </c>
      <c r="G6" s="58">
        <v>0.70771373770326951</v>
      </c>
      <c r="H6" s="14">
        <v>-9.0036406646776257E-4</v>
      </c>
      <c r="I6" s="14">
        <v>2.997716436181062E-2</v>
      </c>
      <c r="J6" s="14">
        <v>0.14539115504906067</v>
      </c>
      <c r="K6" s="58">
        <v>-3.0034997827038654E-2</v>
      </c>
      <c r="L6" s="14">
        <v>-2.4842193990882722E-3</v>
      </c>
      <c r="M6" s="14">
        <v>3.9235981647009623E-2</v>
      </c>
      <c r="N6" s="14">
        <v>0.13869799405894301</v>
      </c>
      <c r="O6" s="58">
        <v>-6.3314827227665585E-2</v>
      </c>
      <c r="P6" s="14">
        <v>3.6694825756886873E-2</v>
      </c>
      <c r="Q6" s="14">
        <v>3.3206394516278777E-2</v>
      </c>
      <c r="R6" s="14">
        <v>2.9464682363394033E-2</v>
      </c>
      <c r="S6" s="58">
        <v>1.1050529963106341</v>
      </c>
      <c r="T6" s="14">
        <v>1.7347143860976466E-2</v>
      </c>
      <c r="U6" s="14">
        <v>2.9815488155112906E-2</v>
      </c>
      <c r="V6" s="14">
        <v>2.9464682363394033E-2</v>
      </c>
      <c r="W6" s="58">
        <v>0.58181653007756284</v>
      </c>
      <c r="X6" s="31">
        <v>41640</v>
      </c>
      <c r="Y6" s="33" t="s">
        <v>208</v>
      </c>
      <c r="Z6" s="33" t="s">
        <v>108</v>
      </c>
      <c r="AA6" s="63" t="s">
        <v>108</v>
      </c>
      <c r="AB6" s="63" t="s">
        <v>108</v>
      </c>
      <c r="AC6" s="8" t="s">
        <v>108</v>
      </c>
      <c r="AD6" s="8" t="s">
        <v>108</v>
      </c>
      <c r="AE6" s="8" t="s">
        <v>31</v>
      </c>
    </row>
    <row r="7" spans="1:31" s="8" customFormat="1" ht="21.75" customHeight="1" x14ac:dyDescent="0.35">
      <c r="A7" s="12" t="s">
        <v>245</v>
      </c>
      <c r="B7" s="13" t="s">
        <v>268</v>
      </c>
      <c r="C7" s="21">
        <v>2.3378213884052812E-2</v>
      </c>
      <c r="D7" s="21">
        <v>0.53333900219870989</v>
      </c>
      <c r="E7" s="21">
        <v>3.7972875335713675E-2</v>
      </c>
      <c r="F7" s="21">
        <v>0.36231100343925077</v>
      </c>
      <c r="G7" s="57">
        <v>0.61565561410266678</v>
      </c>
      <c r="H7" s="21">
        <v>1.5384370251347868E-4</v>
      </c>
      <c r="I7" s="21">
        <v>4.1710806106666221E-2</v>
      </c>
      <c r="J7" s="21">
        <v>0.20411268052461201</v>
      </c>
      <c r="K7" s="57">
        <v>3.6883416283074754E-3</v>
      </c>
      <c r="L7" s="21">
        <v>-1.3902280265021938E-2</v>
      </c>
      <c r="M7" s="21">
        <v>5.1120798813941E-2</v>
      </c>
      <c r="N7" s="21">
        <v>0.19957652620969207</v>
      </c>
      <c r="O7" s="57">
        <v>-0.27194958974762123</v>
      </c>
      <c r="P7" s="21">
        <v>3.4524587117030547E-2</v>
      </c>
      <c r="Q7" s="21">
        <v>4.2451545870926422E-2</v>
      </c>
      <c r="R7" s="21">
        <v>3.3151994465495882E-2</v>
      </c>
      <c r="S7" s="57">
        <v>0.81327043359038731</v>
      </c>
      <c r="T7" s="21">
        <v>1.8185871909119244E-2</v>
      </c>
      <c r="U7" s="21">
        <v>3.5732595955581009E-2</v>
      </c>
      <c r="V7" s="21">
        <v>3.3151994465495882E-2</v>
      </c>
      <c r="W7" s="57">
        <v>0.50894348487095653</v>
      </c>
      <c r="X7" s="31">
        <v>46022</v>
      </c>
      <c r="Y7" s="28">
        <v>8</v>
      </c>
      <c r="Z7" s="48" t="s">
        <v>32</v>
      </c>
      <c r="AA7" s="48" t="s">
        <v>32</v>
      </c>
      <c r="AB7" s="48" t="s">
        <v>32</v>
      </c>
      <c r="AC7" s="8" t="s">
        <v>32</v>
      </c>
      <c r="AD7" s="8" t="s">
        <v>32</v>
      </c>
      <c r="AE7" s="8" t="s">
        <v>247</v>
      </c>
    </row>
    <row r="8" spans="1:31" s="8" customFormat="1" ht="21.75" customHeight="1" x14ac:dyDescent="0.35">
      <c r="A8" s="12" t="s">
        <v>34</v>
      </c>
      <c r="B8" s="13" t="s">
        <v>151</v>
      </c>
      <c r="C8" s="14">
        <v>2.3590652370066856E-2</v>
      </c>
      <c r="D8" s="14">
        <v>0.53923725680277501</v>
      </c>
      <c r="E8" s="14">
        <v>1.6763852182240684E-2</v>
      </c>
      <c r="F8" s="14">
        <v>7.8572069243877607E-2</v>
      </c>
      <c r="G8" s="58">
        <v>1.4072333801092782</v>
      </c>
      <c r="H8" s="14">
        <v>1.4334856567314702E-2</v>
      </c>
      <c r="I8" s="14">
        <v>1.5883031551273026E-2</v>
      </c>
      <c r="J8" s="14">
        <v>7.8572069243877607E-2</v>
      </c>
      <c r="K8" s="58">
        <v>0.9025264806053831</v>
      </c>
      <c r="L8" s="14">
        <v>1.7962573886263211E-2</v>
      </c>
      <c r="M8" s="14">
        <v>1.7364723274640104E-2</v>
      </c>
      <c r="N8" s="14">
        <v>7.8572069243877607E-2</v>
      </c>
      <c r="O8" s="58">
        <v>1.0344290319037921</v>
      </c>
      <c r="P8" s="14">
        <v>4.4227954987368312E-2</v>
      </c>
      <c r="Q8" s="14">
        <v>1.262154794454433E-2</v>
      </c>
      <c r="R8" s="14">
        <v>1.1951862842070424E-2</v>
      </c>
      <c r="S8" s="58">
        <v>3.5041624990606532</v>
      </c>
      <c r="T8" s="14">
        <v>1.9285993269597457E-2</v>
      </c>
      <c r="U8" s="14">
        <v>1.0601993546049978E-2</v>
      </c>
      <c r="V8" s="14">
        <v>1.1951862842070424E-2</v>
      </c>
      <c r="W8" s="58">
        <v>1.819091210141597</v>
      </c>
      <c r="X8" s="31">
        <v>41640</v>
      </c>
      <c r="Y8" s="28">
        <v>8</v>
      </c>
      <c r="Z8" s="33" t="s">
        <v>108</v>
      </c>
      <c r="AA8" s="33" t="s">
        <v>106</v>
      </c>
      <c r="AB8" s="33" t="s">
        <v>108</v>
      </c>
      <c r="AC8" s="8" t="s">
        <v>108</v>
      </c>
      <c r="AD8" s="8" t="s">
        <v>106</v>
      </c>
      <c r="AE8" s="8" t="s">
        <v>37</v>
      </c>
    </row>
    <row r="9" spans="1:31" s="8" customFormat="1" ht="21.75" customHeight="1" x14ac:dyDescent="0.35">
      <c r="A9" s="12" t="s">
        <v>131</v>
      </c>
      <c r="B9" s="13" t="s">
        <v>269</v>
      </c>
      <c r="C9" s="21">
        <v>1.8675432381609625E-2</v>
      </c>
      <c r="D9" s="21">
        <v>0.40811507084585652</v>
      </c>
      <c r="E9" s="21">
        <v>3.8323375541266608E-2</v>
      </c>
      <c r="F9" s="21">
        <v>0.16483353151010702</v>
      </c>
      <c r="G9" s="57">
        <v>0.48731178080855431</v>
      </c>
      <c r="H9" s="21">
        <v>4.1651358707541775E-3</v>
      </c>
      <c r="I9" s="21">
        <v>3.1908693002396439E-2</v>
      </c>
      <c r="J9" s="21">
        <v>0.16483353151010702</v>
      </c>
      <c r="K9" s="57">
        <v>0.13053295133214524</v>
      </c>
      <c r="L9" s="21">
        <v>-2.7823169689741301E-3</v>
      </c>
      <c r="M9" s="21">
        <v>3.6820676922812129E-2</v>
      </c>
      <c r="N9" s="21">
        <v>0.16483353151010702</v>
      </c>
      <c r="O9" s="57">
        <v>-7.5563982020394493E-2</v>
      </c>
      <c r="P9" s="21">
        <v>4.3939135704133436E-2</v>
      </c>
      <c r="Q9" s="21">
        <v>3.0254856695621418E-2</v>
      </c>
      <c r="R9" s="21">
        <v>2.8006088280060907E-2</v>
      </c>
      <c r="S9" s="57">
        <v>1.4523002421126143</v>
      </c>
      <c r="T9" s="21">
        <v>2.1347684545834689E-2</v>
      </c>
      <c r="U9" s="21">
        <v>2.7192864912517805E-2</v>
      </c>
      <c r="V9" s="21">
        <v>2.8006088280060907E-2</v>
      </c>
      <c r="W9" s="57">
        <v>0.78504727672175578</v>
      </c>
      <c r="X9" s="31">
        <v>46203</v>
      </c>
      <c r="Y9" s="28">
        <v>8</v>
      </c>
      <c r="Z9" s="48" t="s">
        <v>107</v>
      </c>
      <c r="AA9" s="48" t="s">
        <v>108</v>
      </c>
      <c r="AB9" s="48" t="s">
        <v>108</v>
      </c>
      <c r="AC9" s="8" t="s">
        <v>108</v>
      </c>
      <c r="AD9" s="8" t="s">
        <v>108</v>
      </c>
      <c r="AE9" s="8" t="s">
        <v>31</v>
      </c>
    </row>
    <row r="10" spans="1:31" s="8" customFormat="1" ht="21.75" customHeight="1" x14ac:dyDescent="0.35">
      <c r="A10" s="12" t="s">
        <v>35</v>
      </c>
      <c r="B10" s="13" t="s">
        <v>41</v>
      </c>
      <c r="C10" s="14">
        <v>3.3541969941341288E-2</v>
      </c>
      <c r="D10" s="14">
        <v>0.84088235294117664</v>
      </c>
      <c r="E10" s="14">
        <v>2.4590994650377621E-2</v>
      </c>
      <c r="F10" s="14">
        <v>0.11860465116279066</v>
      </c>
      <c r="G10" s="57">
        <v>1.3639940318894834</v>
      </c>
      <c r="H10" s="14">
        <v>2.5666688522266501E-2</v>
      </c>
      <c r="I10" s="14">
        <v>2.5208347521369068E-2</v>
      </c>
      <c r="J10" s="14">
        <v>0.11860465116279066</v>
      </c>
      <c r="K10" s="57">
        <v>1.0181821121161907</v>
      </c>
      <c r="L10" s="14">
        <v>2.9511404316673095E-2</v>
      </c>
      <c r="M10" s="14">
        <v>2.6973158898218025E-2</v>
      </c>
      <c r="N10" s="14">
        <v>0.11860465116279066</v>
      </c>
      <c r="O10" s="57">
        <v>1.0941026384055728</v>
      </c>
      <c r="P10" s="14">
        <v>6.7266752792032536E-2</v>
      </c>
      <c r="Q10" s="14">
        <v>2.3666043394232811E-2</v>
      </c>
      <c r="R10" s="14">
        <v>2.0741566768887644E-2</v>
      </c>
      <c r="S10" s="57">
        <v>2.8423320143334481</v>
      </c>
      <c r="T10" s="14">
        <v>3.354381562801656E-2</v>
      </c>
      <c r="U10" s="14">
        <v>2.3095313762159921E-2</v>
      </c>
      <c r="V10" s="14">
        <v>2.0169229950508179E-2</v>
      </c>
      <c r="W10" s="57">
        <v>1.4524078769163893</v>
      </c>
      <c r="X10" s="31">
        <v>42005</v>
      </c>
      <c r="Y10" s="28">
        <v>8</v>
      </c>
      <c r="Z10" s="48" t="s">
        <v>108</v>
      </c>
      <c r="AA10" s="48" t="s">
        <v>108</v>
      </c>
      <c r="AB10" s="48" t="s">
        <v>108</v>
      </c>
      <c r="AC10" s="8" t="s">
        <v>108</v>
      </c>
      <c r="AD10" s="8" t="s">
        <v>108</v>
      </c>
      <c r="AE10" s="8" t="s">
        <v>33</v>
      </c>
    </row>
    <row r="11" spans="1:31" s="8" customFormat="1" ht="21.75" customHeight="1" x14ac:dyDescent="0.35">
      <c r="A11" s="12" t="s">
        <v>56</v>
      </c>
      <c r="B11" s="13" t="s">
        <v>211</v>
      </c>
      <c r="C11" s="14" t="s">
        <v>106</v>
      </c>
      <c r="D11" s="14" t="s">
        <v>106</v>
      </c>
      <c r="E11" s="14" t="s">
        <v>106</v>
      </c>
      <c r="F11" s="14" t="s">
        <v>106</v>
      </c>
      <c r="G11" s="57" t="s">
        <v>106</v>
      </c>
      <c r="H11" s="14">
        <v>1.2170930075876107E-2</v>
      </c>
      <c r="I11" s="14">
        <v>2.5855666451758789E-2</v>
      </c>
      <c r="J11" s="14">
        <v>0.14814814814814825</v>
      </c>
      <c r="K11" s="57">
        <v>0.47072583097343446</v>
      </c>
      <c r="L11" s="14">
        <v>1.191819847475406E-2</v>
      </c>
      <c r="M11" s="14">
        <v>3.3156848838786196E-2</v>
      </c>
      <c r="N11" s="14">
        <v>0.14814814814814825</v>
      </c>
      <c r="O11" s="57">
        <v>0.35944906986493835</v>
      </c>
      <c r="P11" s="14">
        <v>5.5132806951760704E-2</v>
      </c>
      <c r="Q11" s="14">
        <v>2.7920609012933122E-2</v>
      </c>
      <c r="R11" s="14">
        <v>2.5252044892524264E-2</v>
      </c>
      <c r="S11" s="57">
        <v>1.9746276639675948</v>
      </c>
      <c r="T11" s="14">
        <v>3.1621041208692358E-2</v>
      </c>
      <c r="U11" s="14">
        <v>2.6263201713388248E-2</v>
      </c>
      <c r="V11" s="14">
        <v>2.5252044892524264E-2</v>
      </c>
      <c r="W11" s="57">
        <v>1.2040055722746412</v>
      </c>
      <c r="X11" s="31">
        <v>45291</v>
      </c>
      <c r="Y11" s="28">
        <v>8</v>
      </c>
      <c r="Z11" s="48" t="s">
        <v>107</v>
      </c>
      <c r="AA11" s="48" t="s">
        <v>106</v>
      </c>
      <c r="AB11" s="48" t="s">
        <v>108</v>
      </c>
      <c r="AC11" s="8" t="s">
        <v>108</v>
      </c>
      <c r="AD11" s="8" t="s">
        <v>106</v>
      </c>
      <c r="AE11" s="8" t="s">
        <v>33</v>
      </c>
    </row>
    <row r="12" spans="1:31" s="8" customFormat="1" ht="21.75" customHeight="1" x14ac:dyDescent="0.35">
      <c r="A12" s="12" t="s">
        <v>149</v>
      </c>
      <c r="B12" s="13" t="s">
        <v>212</v>
      </c>
      <c r="C12" s="14" t="s">
        <v>106</v>
      </c>
      <c r="D12" s="14" t="s">
        <v>106</v>
      </c>
      <c r="E12" s="14" t="s">
        <v>106</v>
      </c>
      <c r="F12" s="14" t="s">
        <v>106</v>
      </c>
      <c r="G12" s="57" t="s">
        <v>106</v>
      </c>
      <c r="H12" s="14">
        <v>1.2407229766744354E-2</v>
      </c>
      <c r="I12" s="14">
        <v>1.0108120294972614E-2</v>
      </c>
      <c r="J12" s="14">
        <v>5.7805433907871094E-2</v>
      </c>
      <c r="K12" s="57">
        <v>1.227451732337933</v>
      </c>
      <c r="L12" s="14">
        <v>1.8772196832413712E-2</v>
      </c>
      <c r="M12" s="14">
        <v>8.8126127540718042E-3</v>
      </c>
      <c r="N12" s="14">
        <v>4.8251530362157263E-2</v>
      </c>
      <c r="O12" s="57">
        <v>2.1301511091293732</v>
      </c>
      <c r="P12" s="14">
        <v>3.5956793447896818E-2</v>
      </c>
      <c r="Q12" s="14">
        <v>6.1082509042325872E-3</v>
      </c>
      <c r="R12" s="14">
        <v>8.1183878566548906E-3</v>
      </c>
      <c r="S12" s="57">
        <v>5.8865940531325087</v>
      </c>
      <c r="T12" s="14">
        <v>2.1038449970482098E-2</v>
      </c>
      <c r="U12" s="14">
        <v>7.5481450962942721E-3</v>
      </c>
      <c r="V12" s="14">
        <v>8.1183878566548906E-3</v>
      </c>
      <c r="W12" s="57">
        <v>2.7872344399965008</v>
      </c>
      <c r="X12" s="31" t="s">
        <v>106</v>
      </c>
      <c r="Y12" s="28">
        <v>6</v>
      </c>
      <c r="Z12" s="48" t="s">
        <v>32</v>
      </c>
      <c r="AA12" s="48" t="s">
        <v>32</v>
      </c>
      <c r="AB12" s="48" t="s">
        <v>32</v>
      </c>
      <c r="AC12" s="8" t="s">
        <v>32</v>
      </c>
      <c r="AD12" s="8" t="s">
        <v>32</v>
      </c>
      <c r="AE12" s="8" t="s">
        <v>31</v>
      </c>
    </row>
    <row r="13" spans="1:31" s="8" customFormat="1" ht="21.75" customHeight="1" x14ac:dyDescent="0.35">
      <c r="A13" s="12" t="s">
        <v>48</v>
      </c>
      <c r="B13" s="13" t="s">
        <v>62</v>
      </c>
      <c r="C13" s="14">
        <v>2.7046739998801028E-2</v>
      </c>
      <c r="D13" s="14">
        <v>0.63826124177107624</v>
      </c>
      <c r="E13" s="14">
        <v>4.9251709263627166E-2</v>
      </c>
      <c r="F13" s="14">
        <v>0.23004953219592741</v>
      </c>
      <c r="G13" s="57">
        <v>0.54915332692372754</v>
      </c>
      <c r="H13" s="14">
        <v>1.9500751510053149E-3</v>
      </c>
      <c r="I13" s="14">
        <v>5.7760726222980618E-2</v>
      </c>
      <c r="J13" s="14">
        <v>0.23004953219592741</v>
      </c>
      <c r="K13" s="57">
        <v>3.3761264418269384E-2</v>
      </c>
      <c r="L13" s="14">
        <v>-1.8584035781368802E-2</v>
      </c>
      <c r="M13" s="14">
        <v>7.3118859424437632E-2</v>
      </c>
      <c r="N13" s="14">
        <v>0.22707182320441993</v>
      </c>
      <c r="O13" s="57">
        <v>-0.25416200317749599</v>
      </c>
      <c r="P13" s="14">
        <v>3.5092303943287106E-2</v>
      </c>
      <c r="Q13" s="14">
        <v>6.7593959666661124E-2</v>
      </c>
      <c r="R13" s="14">
        <v>8.6636420241213721E-2</v>
      </c>
      <c r="S13" s="57">
        <v>0.51916331157908813</v>
      </c>
      <c r="T13" s="14">
        <v>7.653541013010301E-3</v>
      </c>
      <c r="U13" s="14">
        <v>9.9651966246936688E-2</v>
      </c>
      <c r="V13" s="14">
        <v>8.2923832923832999E-2</v>
      </c>
      <c r="W13" s="57">
        <v>7.6802709482368808E-2</v>
      </c>
      <c r="X13" s="31">
        <v>41820</v>
      </c>
      <c r="Y13" s="28">
        <v>8</v>
      </c>
      <c r="Z13" s="48" t="s">
        <v>108</v>
      </c>
      <c r="AA13" s="48" t="s">
        <v>106</v>
      </c>
      <c r="AB13" s="48" t="s">
        <v>108</v>
      </c>
      <c r="AC13" s="8" t="s">
        <v>108</v>
      </c>
      <c r="AD13" s="8" t="s">
        <v>106</v>
      </c>
      <c r="AE13" s="8" t="s">
        <v>33</v>
      </c>
    </row>
    <row r="14" spans="1:31" s="8" customFormat="1" ht="21.75" customHeight="1" x14ac:dyDescent="0.35">
      <c r="A14" s="12" t="s">
        <v>49</v>
      </c>
      <c r="B14" s="13" t="s">
        <v>213</v>
      </c>
      <c r="C14" s="14">
        <v>1.8151014934649101E-2</v>
      </c>
      <c r="D14" s="14">
        <v>0.3947668295688187</v>
      </c>
      <c r="E14" s="14">
        <v>1.6320941001891107E-2</v>
      </c>
      <c r="F14" s="14">
        <v>0.10911982171253172</v>
      </c>
      <c r="G14" s="57">
        <v>1.1121304177587519</v>
      </c>
      <c r="H14" s="14">
        <v>1.2762561461640232E-2</v>
      </c>
      <c r="I14" s="14">
        <v>1.2735669163508734E-2</v>
      </c>
      <c r="J14" s="14">
        <v>6.7131580964058579E-2</v>
      </c>
      <c r="K14" s="57">
        <v>1.0021115732346872</v>
      </c>
      <c r="L14" s="14">
        <v>1.956341207378931E-2</v>
      </c>
      <c r="M14" s="14">
        <v>1.5440593296720687E-2</v>
      </c>
      <c r="N14" s="14">
        <v>6.7131580964058579E-2</v>
      </c>
      <c r="O14" s="57">
        <v>1.2670116813415608</v>
      </c>
      <c r="P14" s="14">
        <v>4.6179457233053611E-2</v>
      </c>
      <c r="Q14" s="14">
        <v>1.2148331743894238E-2</v>
      </c>
      <c r="R14" s="14">
        <v>1.3492729306487546E-2</v>
      </c>
      <c r="S14" s="57">
        <v>3.8013003107413037</v>
      </c>
      <c r="T14" s="14">
        <v>2.3786906533469043E-2</v>
      </c>
      <c r="U14" s="14">
        <v>1.3027586474988761E-2</v>
      </c>
      <c r="V14" s="14">
        <v>1.3492729306487546E-2</v>
      </c>
      <c r="W14" s="57">
        <v>1.8258874411723729</v>
      </c>
      <c r="X14" s="31">
        <v>43465</v>
      </c>
      <c r="Y14" s="28">
        <v>8</v>
      </c>
      <c r="Z14" s="48" t="s">
        <v>107</v>
      </c>
      <c r="AA14" s="48" t="s">
        <v>106</v>
      </c>
      <c r="AB14" s="48" t="s">
        <v>108</v>
      </c>
      <c r="AC14" s="8" t="s">
        <v>108</v>
      </c>
      <c r="AD14" s="8" t="s">
        <v>106</v>
      </c>
      <c r="AE14" s="8" t="s">
        <v>33</v>
      </c>
    </row>
    <row r="15" spans="1:31" s="8" customFormat="1" ht="21.75" customHeight="1" x14ac:dyDescent="0.35">
      <c r="A15" s="12" t="s">
        <v>243</v>
      </c>
      <c r="B15" s="13" t="s">
        <v>118</v>
      </c>
      <c r="C15" s="14">
        <v>2.7706138509824951E-2</v>
      </c>
      <c r="D15" s="14">
        <v>0.65782631305252215</v>
      </c>
      <c r="E15" s="14">
        <v>4.0425402346610496E-2</v>
      </c>
      <c r="F15" s="14">
        <v>0.2105556933763334</v>
      </c>
      <c r="G15" s="57">
        <v>0.68536457033303955</v>
      </c>
      <c r="H15" s="14">
        <v>-2.1375077556566868E-3</v>
      </c>
      <c r="I15" s="14">
        <v>4.4247083092322628E-2</v>
      </c>
      <c r="J15" s="14">
        <v>0.2105556933763334</v>
      </c>
      <c r="K15" s="57">
        <v>-4.8308444450377082E-2</v>
      </c>
      <c r="L15" s="14">
        <v>-1.7389898621280042E-2</v>
      </c>
      <c r="M15" s="14">
        <v>5.3398262037608016E-2</v>
      </c>
      <c r="N15" s="14">
        <v>0.20421368509893412</v>
      </c>
      <c r="O15" s="57">
        <v>-0.32566413133506966</v>
      </c>
      <c r="P15" s="14">
        <v>3.0297102684677668E-2</v>
      </c>
      <c r="Q15" s="14">
        <v>4.2757693875283394E-2</v>
      </c>
      <c r="R15" s="14">
        <v>3.3655868742111933E-2</v>
      </c>
      <c r="S15" s="57">
        <v>0.70857663121516656</v>
      </c>
      <c r="T15" s="14">
        <v>1.386114294791585E-2</v>
      </c>
      <c r="U15" s="14">
        <v>3.6674296290737061E-2</v>
      </c>
      <c r="V15" s="14">
        <v>3.3274471105571087E-2</v>
      </c>
      <c r="W15" s="57">
        <v>0.37795252669692808</v>
      </c>
      <c r="X15" s="31">
        <v>41640</v>
      </c>
      <c r="Y15" s="28">
        <v>8</v>
      </c>
      <c r="Z15" s="48" t="s">
        <v>108</v>
      </c>
      <c r="AA15" s="48" t="s">
        <v>106</v>
      </c>
      <c r="AB15" s="48" t="s">
        <v>108</v>
      </c>
      <c r="AC15" s="8" t="s">
        <v>108</v>
      </c>
      <c r="AD15" s="8" t="s">
        <v>106</v>
      </c>
      <c r="AE15" s="8" t="s">
        <v>33</v>
      </c>
    </row>
    <row r="16" spans="1:31" s="8" customFormat="1" ht="21.75" customHeight="1" x14ac:dyDescent="0.35">
      <c r="A16" s="12" t="s">
        <v>57</v>
      </c>
      <c r="B16" s="13" t="s">
        <v>63</v>
      </c>
      <c r="C16" s="14">
        <v>3.4640591394039077E-2</v>
      </c>
      <c r="D16" s="14">
        <v>0.87741565084934159</v>
      </c>
      <c r="E16" s="14">
        <v>2.8939908200559729E-2</v>
      </c>
      <c r="F16" s="14">
        <v>0.12086151655393557</v>
      </c>
      <c r="G16" s="57">
        <v>1.1969834580667085</v>
      </c>
      <c r="H16" s="14">
        <v>1.6412939115732827E-2</v>
      </c>
      <c r="I16" s="14">
        <v>2.5917576893950078E-2</v>
      </c>
      <c r="J16" s="14">
        <v>0.12086151655393557</v>
      </c>
      <c r="K16" s="57">
        <v>0.63327444470953176</v>
      </c>
      <c r="L16" s="14">
        <v>1.314016358715242E-2</v>
      </c>
      <c r="M16" s="14">
        <v>2.9213837170597182E-2</v>
      </c>
      <c r="N16" s="14">
        <v>0.12086151655393557</v>
      </c>
      <c r="O16" s="57">
        <v>0.44979245658210165</v>
      </c>
      <c r="P16" s="14">
        <v>4.7688808046446818E-2</v>
      </c>
      <c r="Q16" s="14">
        <v>2.6321112836123487E-2</v>
      </c>
      <c r="R16" s="14">
        <v>3.1257835353112828E-2</v>
      </c>
      <c r="S16" s="57">
        <v>1.8118081991198332</v>
      </c>
      <c r="T16" s="14">
        <v>2.3046776849362738E-2</v>
      </c>
      <c r="U16" s="14">
        <v>2.8230014494702881E-2</v>
      </c>
      <c r="V16" s="14">
        <v>3.1257835353112828E-2</v>
      </c>
      <c r="W16" s="57">
        <v>0.81639266794167842</v>
      </c>
      <c r="X16" s="31">
        <v>43281</v>
      </c>
      <c r="Y16" s="28">
        <v>8</v>
      </c>
      <c r="Z16" s="48" t="s">
        <v>107</v>
      </c>
      <c r="AA16" s="48" t="s">
        <v>106</v>
      </c>
      <c r="AB16" s="48" t="s">
        <v>108</v>
      </c>
      <c r="AC16" s="8" t="s">
        <v>108</v>
      </c>
      <c r="AD16" s="8" t="s">
        <v>106</v>
      </c>
      <c r="AE16" s="8" t="s">
        <v>33</v>
      </c>
    </row>
    <row r="17" spans="1:31" s="8" customFormat="1" ht="21.75" customHeight="1" x14ac:dyDescent="0.35">
      <c r="A17" s="12" t="s">
        <v>58</v>
      </c>
      <c r="B17" s="13" t="s">
        <v>64</v>
      </c>
      <c r="C17" s="14">
        <v>2.0494003868924304E-2</v>
      </c>
      <c r="D17" s="14">
        <v>0.45534622110351175</v>
      </c>
      <c r="E17" s="14">
        <v>4.548509874617257E-2</v>
      </c>
      <c r="F17" s="14">
        <v>0.5610931936704544</v>
      </c>
      <c r="G17" s="57">
        <v>0.45056522759882567</v>
      </c>
      <c r="H17" s="14">
        <v>1.4706897319836321E-2</v>
      </c>
      <c r="I17" s="14">
        <v>1.4991876780698986E-2</v>
      </c>
      <c r="J17" s="14">
        <v>6.8206776927071125E-2</v>
      </c>
      <c r="K17" s="57">
        <v>0.98099107503140925</v>
      </c>
      <c r="L17" s="14">
        <v>2.6445563692005347E-2</v>
      </c>
      <c r="M17" s="14">
        <v>1.7223904170332989E-2</v>
      </c>
      <c r="N17" s="14">
        <v>3.2038266517901377E-2</v>
      </c>
      <c r="O17" s="57">
        <v>1.5353989101702066</v>
      </c>
      <c r="P17" s="14">
        <v>4.5910451020983345E-2</v>
      </c>
      <c r="Q17" s="14">
        <v>1.7647125726417461E-2</v>
      </c>
      <c r="R17" s="14">
        <v>1.4835276071231135E-2</v>
      </c>
      <c r="S17" s="57">
        <v>2.6015823614978921</v>
      </c>
      <c r="T17" s="14">
        <v>2.477060298311784E-2</v>
      </c>
      <c r="U17" s="14">
        <v>1.5218573034507894E-2</v>
      </c>
      <c r="V17" s="14">
        <v>1.4835276071231135E-2</v>
      </c>
      <c r="W17" s="57">
        <v>1.6276560835862111</v>
      </c>
      <c r="X17" s="31">
        <v>43830</v>
      </c>
      <c r="Y17" s="28">
        <v>8</v>
      </c>
      <c r="Z17" s="48" t="s">
        <v>107</v>
      </c>
      <c r="AA17" s="48" t="s">
        <v>106</v>
      </c>
      <c r="AB17" s="48" t="s">
        <v>108</v>
      </c>
      <c r="AC17" s="8" t="s">
        <v>108</v>
      </c>
      <c r="AD17" s="8" t="s">
        <v>106</v>
      </c>
      <c r="AE17" s="8" t="s">
        <v>33</v>
      </c>
    </row>
    <row r="18" spans="1:31" s="8" customFormat="1" ht="21.75" customHeight="1" x14ac:dyDescent="0.35">
      <c r="A18" s="12" t="s">
        <v>50</v>
      </c>
      <c r="B18" s="13" t="s">
        <v>65</v>
      </c>
      <c r="C18" s="14">
        <v>1.9537645024269024E-2</v>
      </c>
      <c r="D18" s="14">
        <v>0.43032437829007075</v>
      </c>
      <c r="E18" s="14">
        <v>2.7584336575759011E-2</v>
      </c>
      <c r="F18" s="14">
        <v>0.1207925770403388</v>
      </c>
      <c r="G18" s="57">
        <v>0.708287653415548</v>
      </c>
      <c r="H18" s="14">
        <v>3.1723563772865226E-3</v>
      </c>
      <c r="I18" s="14">
        <v>2.7884568678430744E-2</v>
      </c>
      <c r="J18" s="14">
        <v>0.1207925770403388</v>
      </c>
      <c r="K18" s="57">
        <v>0.11376745374370456</v>
      </c>
      <c r="L18" s="14">
        <v>-2.9656619514029092E-4</v>
      </c>
      <c r="M18" s="14">
        <v>3.1576572189288624E-2</v>
      </c>
      <c r="N18" s="14">
        <v>0.11628640453987807</v>
      </c>
      <c r="O18" s="57">
        <v>-9.3919692537397029E-3</v>
      </c>
      <c r="P18" s="14">
        <v>3.3362609456194736E-2</v>
      </c>
      <c r="Q18" s="14">
        <v>2.8462244442333987E-2</v>
      </c>
      <c r="R18" s="14">
        <v>2.8132568572797299E-2</v>
      </c>
      <c r="S18" s="57">
        <v>1.1721707163252408</v>
      </c>
      <c r="T18" s="14">
        <v>1.5464012749049072E-2</v>
      </c>
      <c r="U18" s="14">
        <v>2.5734589124682426E-2</v>
      </c>
      <c r="V18" s="14">
        <v>2.8132568572797299E-2</v>
      </c>
      <c r="W18" s="57">
        <v>0.60090381370096591</v>
      </c>
      <c r="X18" s="31">
        <v>42370</v>
      </c>
      <c r="Y18" s="28">
        <v>8</v>
      </c>
      <c r="Z18" s="48" t="s">
        <v>32</v>
      </c>
      <c r="AA18" s="48" t="s">
        <v>32</v>
      </c>
      <c r="AB18" s="48" t="s">
        <v>32</v>
      </c>
      <c r="AC18" s="8" t="s">
        <v>32</v>
      </c>
      <c r="AD18" s="8" t="s">
        <v>32</v>
      </c>
      <c r="AE18" s="8" t="s">
        <v>31</v>
      </c>
    </row>
    <row r="19" spans="1:31" s="8" customFormat="1" ht="21.75" customHeight="1" x14ac:dyDescent="0.35">
      <c r="A19" s="12" t="s">
        <v>59</v>
      </c>
      <c r="B19" s="13" t="s">
        <v>66</v>
      </c>
      <c r="C19" s="14">
        <v>2.3105450342066902E-2</v>
      </c>
      <c r="D19" s="14">
        <v>0.52579719560391958</v>
      </c>
      <c r="E19" s="14">
        <v>4.4522544296870185E-2</v>
      </c>
      <c r="F19" s="14">
        <v>0.26069374550682956</v>
      </c>
      <c r="G19" s="57">
        <v>0.51896069074586004</v>
      </c>
      <c r="H19" s="14">
        <v>-3.7505421349905976E-3</v>
      </c>
      <c r="I19" s="14">
        <v>5.0496379166607951E-2</v>
      </c>
      <c r="J19" s="14">
        <v>0.26069374550682956</v>
      </c>
      <c r="K19" s="57">
        <v>-7.4273486473476535E-2</v>
      </c>
      <c r="L19" s="14">
        <v>-2.7142686793460213E-2</v>
      </c>
      <c r="M19" s="14">
        <v>5.9798213400307602E-2</v>
      </c>
      <c r="N19" s="14">
        <v>0.25457565690123835</v>
      </c>
      <c r="O19" s="57">
        <v>-0.45390464447087631</v>
      </c>
      <c r="P19" s="14">
        <v>3.131316901877268E-2</v>
      </c>
      <c r="Q19" s="14">
        <v>4.8237811342767736E-2</v>
      </c>
      <c r="R19" s="14">
        <v>4.3668629882207002E-2</v>
      </c>
      <c r="S19" s="57">
        <v>0.64914157892172786</v>
      </c>
      <c r="T19" s="14">
        <v>1.7430491979469664E-2</v>
      </c>
      <c r="U19" s="14">
        <v>4.0235297356629819E-2</v>
      </c>
      <c r="V19" s="14">
        <v>3.7657123823214914E-2</v>
      </c>
      <c r="W19" s="57">
        <v>0.43321394707171301</v>
      </c>
      <c r="X19" s="31">
        <v>42370</v>
      </c>
      <c r="Y19" s="28">
        <v>8</v>
      </c>
      <c r="Z19" s="48" t="s">
        <v>108</v>
      </c>
      <c r="AA19" s="48" t="s">
        <v>108</v>
      </c>
      <c r="AB19" s="48" t="s">
        <v>108</v>
      </c>
      <c r="AC19" s="8" t="s">
        <v>108</v>
      </c>
      <c r="AD19" s="8" t="s">
        <v>108</v>
      </c>
      <c r="AE19" s="8" t="s">
        <v>33</v>
      </c>
    </row>
    <row r="20" spans="1:31" s="8" customFormat="1" ht="21.75" customHeight="1" x14ac:dyDescent="0.35">
      <c r="A20" s="12" t="s">
        <v>42</v>
      </c>
      <c r="B20" s="13" t="s">
        <v>43</v>
      </c>
      <c r="C20" s="14">
        <v>2.8961651735022187E-2</v>
      </c>
      <c r="D20" s="14">
        <v>0.69569138276553111</v>
      </c>
      <c r="E20" s="14">
        <v>4.6189145394529119E-2</v>
      </c>
      <c r="F20" s="14">
        <v>0.23374704491725759</v>
      </c>
      <c r="G20" s="57">
        <v>0.62702289656245846</v>
      </c>
      <c r="H20" s="14">
        <v>1.4204900316514779E-2</v>
      </c>
      <c r="I20" s="14">
        <v>4.2094353159025592E-2</v>
      </c>
      <c r="J20" s="14">
        <v>0.17416131334760884</v>
      </c>
      <c r="K20" s="57">
        <v>0.33745382101135951</v>
      </c>
      <c r="L20" s="14">
        <v>3.9226491092769766E-3</v>
      </c>
      <c r="M20" s="14">
        <v>3.9526123901065378E-2</v>
      </c>
      <c r="N20" s="14">
        <v>0.17416131334760884</v>
      </c>
      <c r="O20" s="57">
        <v>9.9241937284198167E-2</v>
      </c>
      <c r="P20" s="14">
        <v>4.9264614223512249E-2</v>
      </c>
      <c r="Q20" s="14">
        <v>3.1056957128700134E-2</v>
      </c>
      <c r="R20" s="14">
        <v>2.6158842633599095E-2</v>
      </c>
      <c r="S20" s="57">
        <v>1.5862666139299972</v>
      </c>
      <c r="T20" s="14">
        <v>2.3791431038148403E-2</v>
      </c>
      <c r="U20" s="14">
        <v>2.6979049623615751E-2</v>
      </c>
      <c r="V20" s="14">
        <v>2.6158842633599095E-2</v>
      </c>
      <c r="W20" s="57">
        <v>0.88184837383311276</v>
      </c>
      <c r="X20" s="31">
        <v>42916</v>
      </c>
      <c r="Y20" s="28">
        <v>8</v>
      </c>
      <c r="Z20" s="48" t="s">
        <v>108</v>
      </c>
      <c r="AA20" s="48" t="s">
        <v>108</v>
      </c>
      <c r="AB20" s="48" t="s">
        <v>108</v>
      </c>
      <c r="AC20" s="8" t="s">
        <v>108</v>
      </c>
      <c r="AD20" s="8" t="s">
        <v>108</v>
      </c>
      <c r="AE20" s="8" t="s">
        <v>33</v>
      </c>
    </row>
    <row r="21" spans="1:31" s="8" customFormat="1" ht="21.5" customHeight="1" x14ac:dyDescent="0.35">
      <c r="A21" s="12" t="s">
        <v>150</v>
      </c>
      <c r="B21" s="13" t="s">
        <v>214</v>
      </c>
      <c r="C21" s="14">
        <v>1.4396292349060369E-2</v>
      </c>
      <c r="D21" s="14">
        <v>0.30263416276264477</v>
      </c>
      <c r="E21" s="14">
        <v>2.6583762934675771E-2</v>
      </c>
      <c r="F21" s="14">
        <v>0.12990961550394012</v>
      </c>
      <c r="G21" s="57">
        <v>0.54154456554688479</v>
      </c>
      <c r="H21" s="14">
        <v>-2.3178675685426864E-3</v>
      </c>
      <c r="I21" s="14">
        <v>2.7487087722121824E-2</v>
      </c>
      <c r="J21" s="14">
        <v>0.12990961550394012</v>
      </c>
      <c r="K21" s="57">
        <v>-8.4325687463690388E-2</v>
      </c>
      <c r="L21" s="14">
        <v>-6.6747020284982916E-3</v>
      </c>
      <c r="M21" s="14">
        <v>3.5019781563078924E-2</v>
      </c>
      <c r="N21" s="14">
        <v>0.12866611433305716</v>
      </c>
      <c r="O21" s="57">
        <v>-0.19059804860505974</v>
      </c>
      <c r="P21" s="14">
        <v>2.7290039809651612E-2</v>
      </c>
      <c r="Q21" s="14">
        <v>3.1357188988775778E-2</v>
      </c>
      <c r="R21" s="14">
        <v>2.5145109126346696E-2</v>
      </c>
      <c r="S21" s="57">
        <v>0.87029611676671681</v>
      </c>
      <c r="T21" s="14">
        <v>1.0716295964793732E-2</v>
      </c>
      <c r="U21" s="14">
        <v>2.7350339345842606E-2</v>
      </c>
      <c r="V21" s="14">
        <v>2.5145109126346696E-2</v>
      </c>
      <c r="W21" s="57">
        <v>0.39181583194589009</v>
      </c>
      <c r="X21" s="31">
        <v>44926</v>
      </c>
      <c r="Y21" s="28">
        <v>8</v>
      </c>
      <c r="Z21" s="48" t="s">
        <v>108</v>
      </c>
      <c r="AA21" s="48" t="s">
        <v>108</v>
      </c>
      <c r="AB21" s="48" t="s">
        <v>108</v>
      </c>
      <c r="AC21" s="8" t="s">
        <v>108</v>
      </c>
      <c r="AD21" s="8" t="s">
        <v>108</v>
      </c>
      <c r="AE21" s="8" t="s">
        <v>54</v>
      </c>
    </row>
    <row r="22" spans="1:31" s="8" customFormat="1" ht="21.75" customHeight="1" x14ac:dyDescent="0.35">
      <c r="A22" s="12" t="s">
        <v>60</v>
      </c>
      <c r="B22" s="13" t="s">
        <v>67</v>
      </c>
      <c r="C22" s="14">
        <v>2.3417847796132207E-2</v>
      </c>
      <c r="D22" s="14">
        <v>0.53443779429044813</v>
      </c>
      <c r="E22" s="14">
        <v>4.5108729864943457E-2</v>
      </c>
      <c r="F22" s="14">
        <v>0.22155281625126516</v>
      </c>
      <c r="G22" s="57">
        <v>0.51914225619399534</v>
      </c>
      <c r="H22" s="14">
        <v>-4.1598853372721845E-3</v>
      </c>
      <c r="I22" s="14">
        <v>5.0294162188256553E-2</v>
      </c>
      <c r="J22" s="14">
        <v>0.22155281625126516</v>
      </c>
      <c r="K22" s="57">
        <v>-8.2711097198543207E-2</v>
      </c>
      <c r="L22" s="14">
        <v>-2.043085764626118E-2</v>
      </c>
      <c r="M22" s="14">
        <v>6.1046265269070546E-2</v>
      </c>
      <c r="N22" s="14">
        <v>0.21319709208793042</v>
      </c>
      <c r="O22" s="57">
        <v>-0.33467825683044028</v>
      </c>
      <c r="P22" s="14">
        <v>2.725607327097479E-2</v>
      </c>
      <c r="Q22" s="14">
        <v>4.7513852070377359E-2</v>
      </c>
      <c r="R22" s="14">
        <v>3.8302269336423729E-2</v>
      </c>
      <c r="S22" s="57">
        <v>0.57364478111779249</v>
      </c>
      <c r="T22" s="14">
        <v>1.2725852644570379E-2</v>
      </c>
      <c r="U22" s="14">
        <v>4.0279576997390189E-2</v>
      </c>
      <c r="V22" s="14">
        <v>3.3820011698488528E-2</v>
      </c>
      <c r="W22" s="57">
        <v>0.31593809054635597</v>
      </c>
      <c r="X22" s="31">
        <v>41640</v>
      </c>
      <c r="Y22" s="28">
        <v>6</v>
      </c>
      <c r="Z22" s="33" t="s">
        <v>108</v>
      </c>
      <c r="AA22" s="33" t="s">
        <v>106</v>
      </c>
      <c r="AB22" s="33" t="s">
        <v>108</v>
      </c>
      <c r="AC22" s="8" t="s">
        <v>108</v>
      </c>
      <c r="AD22" s="8" t="s">
        <v>106</v>
      </c>
      <c r="AE22" s="8" t="s">
        <v>33</v>
      </c>
    </row>
    <row r="23" spans="1:31" s="8" customFormat="1" ht="21.75" customHeight="1" x14ac:dyDescent="0.35">
      <c r="A23" s="12"/>
      <c r="B23" s="13"/>
      <c r="C23" s="14"/>
      <c r="D23" s="14"/>
      <c r="E23" s="14"/>
      <c r="F23" s="14"/>
      <c r="G23" s="25"/>
      <c r="H23" s="14"/>
      <c r="I23" s="14"/>
      <c r="J23" s="14"/>
      <c r="K23" s="25"/>
      <c r="L23" s="14"/>
      <c r="M23" s="14"/>
      <c r="N23" s="14"/>
      <c r="O23" s="25"/>
      <c r="P23" s="14"/>
      <c r="Q23" s="14"/>
      <c r="R23" s="14"/>
      <c r="S23" s="25"/>
      <c r="T23" s="14"/>
      <c r="U23" s="14"/>
      <c r="V23" s="14"/>
      <c r="W23" s="25"/>
      <c r="X23" s="16"/>
      <c r="Y23" s="28"/>
      <c r="Z23" s="15"/>
      <c r="AA23" s="15"/>
      <c r="AB23" s="15"/>
      <c r="AC23" s="15"/>
    </row>
    <row r="24" spans="1:31" s="8" customFormat="1" ht="21.75" customHeight="1" x14ac:dyDescent="0.35">
      <c r="A24" s="36" t="s">
        <v>2</v>
      </c>
      <c r="B24" s="36" t="s">
        <v>3</v>
      </c>
      <c r="C24" s="37">
        <f>AVERAGE(Table10[Performance annualisée depuis 01/08])</f>
        <v>2.5139977398008967E-2</v>
      </c>
      <c r="D24" s="37">
        <f>AVERAGE(Table10[Perf. Totale depuis 01/08])</f>
        <v>0.59307269411306718</v>
      </c>
      <c r="E24" s="37">
        <f>AVERAGE(Table10[Volatilité annualisée depuis 01/08])</f>
        <v>3.3988586590250655E-2</v>
      </c>
      <c r="F24" s="37">
        <f>AVERAGE(Table10[Max Drawdown depuis 01/08])</f>
        <v>0.19862825202538079</v>
      </c>
      <c r="G24" s="42">
        <f>AVERAGE(Table10[Couple Rendement / Risque depuis 01/08])</f>
        <v>0.81159481928330257</v>
      </c>
      <c r="H24" s="37">
        <f>AVERAGE(Table10[Performance annualisée 10 ans])</f>
        <v>7.8706535221655261E-3</v>
      </c>
      <c r="I24" s="37">
        <f>AVERAGE(Table10[Volatilité annualisée 10 ans])</f>
        <v>3.1198003290890047E-2</v>
      </c>
      <c r="J24" s="37">
        <f>AVERAGE(Table10[Max Drawdown 10 ans])</f>
        <v>0.14894606076375519</v>
      </c>
      <c r="K24" s="42">
        <f>AVERAGE(Table10[Couple Rendement Risque 10 ans])</f>
        <v>0.40020200105845261</v>
      </c>
      <c r="L24" s="37">
        <f>AVERAGE(Table10[Performance annualisée 5 ans])</f>
        <v>3.1565365166046997E-3</v>
      </c>
      <c r="M24" s="37">
        <f>AVERAGE(Table10[Volatilité annualisée 5 ans])</f>
        <v>3.6510652014359331E-2</v>
      </c>
      <c r="N24" s="37">
        <f>AVERAGE(Table10[Max Drawdown 5 ans])</f>
        <v>0.14439369587064482</v>
      </c>
      <c r="O24" s="42">
        <f>AVERAGE(Table10[Couple Rendement Risque 5 ans])</f>
        <v>0.36250073543082423</v>
      </c>
      <c r="P24" s="37">
        <f>AVERAGE(Table10[Performance annualisée 3 ans])</f>
        <v>4.2236358814651369E-2</v>
      </c>
      <c r="Q24" s="37">
        <f>AVERAGE(Table10[Volatilité annualisée 3 ans])</f>
        <v>3.0735438686287638E-2</v>
      </c>
      <c r="R24" s="37">
        <f>AVERAGE(Table10[Max Drawdown 3 ans])</f>
        <v>2.9113767124044343E-2</v>
      </c>
      <c r="S24" s="42">
        <f>AVERAGE(Table10[Couple Rendement Risque 3 ans])</f>
        <v>1.8927035288580745</v>
      </c>
      <c r="T24" s="37">
        <f>AVERAGE(Table10[Performance annualisée 1 an])</f>
        <v>2.0719186929814309E-2</v>
      </c>
      <c r="U24" s="37">
        <f>AVERAGE(Table10[Volatilité annualisée 1 an])</f>
        <v>2.9553842223385113E-2</v>
      </c>
      <c r="V24" s="37">
        <f>AVERAGE(Table10[Max Drawdown 1 an])</f>
        <v>2.8315867888821799E-2</v>
      </c>
      <c r="W24" s="42">
        <f>AVERAGE(Table10[Couple Rendement Risque 1 an])</f>
        <v>0.99494010435499192</v>
      </c>
      <c r="X24" s="38"/>
      <c r="Y24" s="37"/>
      <c r="Z24" s="37"/>
      <c r="AA24" s="37"/>
      <c r="AB24" s="37"/>
      <c r="AC24" s="37"/>
      <c r="AD24" s="37"/>
      <c r="AE24" s="37"/>
    </row>
    <row r="25" spans="1:31" s="8" customFormat="1" ht="21.75" customHeight="1" x14ac:dyDescent="0.35">
      <c r="A25" s="7"/>
      <c r="B25" s="2"/>
      <c r="C25" s="2"/>
      <c r="D25" s="2"/>
      <c r="E25" s="5"/>
      <c r="F25" s="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1"/>
      <c r="AE25" s="1"/>
    </row>
    <row r="26" spans="1:31" s="8" customFormat="1" ht="21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s="8" customFormat="1" ht="21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s="1" customFormat="1" ht="21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21.75" customHeight="1" x14ac:dyDescent="0.35">
      <c r="E29" s="2"/>
      <c r="F29" s="2"/>
      <c r="AB29" s="6"/>
    </row>
    <row r="30" spans="1:31" ht="21.75" customHeight="1" x14ac:dyDescent="0.35">
      <c r="E30" s="2"/>
      <c r="F30" s="2"/>
    </row>
    <row r="31" spans="1:31" ht="21.75" customHeight="1" x14ac:dyDescent="0.35">
      <c r="E31" s="2"/>
      <c r="F31" s="2"/>
    </row>
    <row r="32" spans="1:31" ht="21.75" customHeight="1" x14ac:dyDescent="0.35">
      <c r="E32" s="2"/>
      <c r="F32" s="2"/>
    </row>
    <row r="33" s="2" customFormat="1" ht="21.75" customHeigh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  <row r="44" s="2" customFormat="1" x14ac:dyDescent="0.35"/>
    <row r="45" s="2" customFormat="1" x14ac:dyDescent="0.35"/>
    <row r="46" s="2" customFormat="1" x14ac:dyDescent="0.35"/>
    <row r="47" s="2" customFormat="1" x14ac:dyDescent="0.35"/>
    <row r="48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</sheetData>
  <sheetProtection selectLockedCells="1"/>
  <phoneticPr fontId="22" type="noConversion"/>
  <conditionalFormatting sqref="C4:C23">
    <cfRule type="iconSet" priority="442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23">
    <cfRule type="iconSet" priority="442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23">
    <cfRule type="iconSet" priority="442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23">
    <cfRule type="iconSet" priority="443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22">
    <cfRule type="iconSet" priority="439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3">
    <cfRule type="iconSet" priority="443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32:X32">
    <cfRule type="iconSet" priority="26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23">
    <cfRule type="iconSet" priority="443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23">
    <cfRule type="iconSet" priority="443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23">
    <cfRule type="iconSet" priority="443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22">
    <cfRule type="iconSet" priority="439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23">
    <cfRule type="iconSet" priority="4440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23">
    <cfRule type="iconSet" priority="444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23">
    <cfRule type="iconSet" priority="444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23">
    <cfRule type="iconSet" priority="444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22">
    <cfRule type="iconSet" priority="440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23">
    <cfRule type="iconSet" priority="444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23">
    <cfRule type="iconSet" priority="444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23">
    <cfRule type="iconSet" priority="445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23">
    <cfRule type="iconSet" priority="445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22">
    <cfRule type="iconSet" priority="441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23">
    <cfRule type="iconSet" priority="445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23">
    <cfRule type="iconSet" priority="445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23">
    <cfRule type="iconSet" priority="445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23">
    <cfRule type="iconSet" priority="445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22">
    <cfRule type="iconSet" priority="442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23">
    <cfRule type="iconSet" priority="446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>
    <tabColor rgb="FF008000"/>
    <pageSetUpPr fitToPage="1"/>
  </sheetPr>
  <dimension ref="A1:AE47"/>
  <sheetViews>
    <sheetView showGridLines="0" zoomScale="70" zoomScaleNormal="70" workbookViewId="0">
      <pane xSplit="1" topLeftCell="B1" activePane="topRight" state="frozenSplit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4" width="13.08203125" style="2" customWidth="1"/>
    <col min="25" max="25" width="13.08203125" style="69" customWidth="1"/>
    <col min="26" max="30" width="13.08203125" style="2" customWidth="1"/>
    <col min="31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65"/>
      <c r="Z1" s="9"/>
      <c r="AA1" s="9"/>
      <c r="AB1" s="9"/>
      <c r="AC1" s="9"/>
      <c r="AD1" s="9"/>
      <c r="AE1" s="9"/>
    </row>
    <row r="2" spans="1:31" s="1" customFormat="1" ht="21" x14ac:dyDescent="0.5">
      <c r="A2" s="17" t="s">
        <v>15</v>
      </c>
      <c r="B2" s="19" t="s">
        <v>22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66"/>
      <c r="Z2" s="4"/>
      <c r="AA2" s="4"/>
      <c r="AB2" s="4"/>
      <c r="AC2" s="4"/>
      <c r="AD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67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12" customFormat="1" ht="21.75" customHeight="1" x14ac:dyDescent="0.35">
      <c r="A4" s="12" t="s">
        <v>241</v>
      </c>
      <c r="B4" s="13" t="s">
        <v>270</v>
      </c>
      <c r="C4" s="14" t="s">
        <v>106</v>
      </c>
      <c r="D4" s="14" t="s">
        <v>106</v>
      </c>
      <c r="E4" s="14" t="s">
        <v>106</v>
      </c>
      <c r="F4" s="14" t="s">
        <v>106</v>
      </c>
      <c r="G4" s="57" t="s">
        <v>106</v>
      </c>
      <c r="H4" s="14">
        <v>9.1293526484130805E-3</v>
      </c>
      <c r="I4" s="14">
        <v>2.9719952109706786E-2</v>
      </c>
      <c r="J4" s="14">
        <v>0.18694806166741509</v>
      </c>
      <c r="K4" s="57">
        <v>0.30717925165940485</v>
      </c>
      <c r="L4" s="14">
        <v>-8.8413051247083763E-3</v>
      </c>
      <c r="M4" s="14">
        <v>3.5181741390620427E-2</v>
      </c>
      <c r="N4" s="14">
        <v>0.18694806166741509</v>
      </c>
      <c r="O4" s="57">
        <v>-0.25130379495841265</v>
      </c>
      <c r="P4" s="14">
        <v>3.6945674103520343E-2</v>
      </c>
      <c r="Q4" s="14">
        <v>3.2288110964151739E-2</v>
      </c>
      <c r="R4" s="14">
        <v>5.9068075523990939E-2</v>
      </c>
      <c r="S4" s="57">
        <v>1.1442500970261071</v>
      </c>
      <c r="T4" s="14">
        <v>2.6093815654063324E-2</v>
      </c>
      <c r="U4" s="14">
        <v>1.9977394004613069E-2</v>
      </c>
      <c r="V4" s="14">
        <v>2.039530671706425E-2</v>
      </c>
      <c r="W4" s="57">
        <v>1.3061671431237669</v>
      </c>
      <c r="X4" s="31">
        <v>44196</v>
      </c>
      <c r="Y4" s="28">
        <v>8</v>
      </c>
      <c r="Z4" s="48" t="s">
        <v>108</v>
      </c>
      <c r="AA4" s="48" t="s">
        <v>108</v>
      </c>
      <c r="AB4" s="49" t="s">
        <v>108</v>
      </c>
      <c r="AC4" s="12" t="s">
        <v>108</v>
      </c>
      <c r="AD4" s="12" t="s">
        <v>108</v>
      </c>
      <c r="AE4" s="12" t="s">
        <v>33</v>
      </c>
    </row>
    <row r="5" spans="1:31" s="12" customFormat="1" ht="21.75" customHeight="1" x14ac:dyDescent="0.35">
      <c r="A5" s="12" t="s">
        <v>245</v>
      </c>
      <c r="B5" s="13" t="s">
        <v>271</v>
      </c>
      <c r="C5" s="14">
        <v>3.5711153471816859E-2</v>
      </c>
      <c r="D5" s="14">
        <v>0.9136748394629306</v>
      </c>
      <c r="E5" s="14">
        <v>5.2259655516729175E-2</v>
      </c>
      <c r="F5" s="14">
        <v>0.25393575714789973</v>
      </c>
      <c r="G5" s="41">
        <v>0.68334077442177421</v>
      </c>
      <c r="H5" s="14">
        <v>1.9076274599691301E-2</v>
      </c>
      <c r="I5" s="14">
        <v>2.1460744980623499E-2</v>
      </c>
      <c r="J5" s="14">
        <v>8.3195452038521966E-2</v>
      </c>
      <c r="K5" s="58">
        <v>0.88889153740538407</v>
      </c>
      <c r="L5" s="14">
        <v>2.2745879910503808E-2</v>
      </c>
      <c r="M5" s="14">
        <v>2.0766703541336758E-2</v>
      </c>
      <c r="N5" s="14">
        <v>8.3195452038521966E-2</v>
      </c>
      <c r="O5" s="58">
        <v>1.0953052739076974</v>
      </c>
      <c r="P5" s="14">
        <v>4.1540317500152968E-2</v>
      </c>
      <c r="Q5" s="14">
        <v>1.0613304344847493E-2</v>
      </c>
      <c r="R5" s="14">
        <v>1.4164305949008671E-2</v>
      </c>
      <c r="S5" s="58">
        <v>3.9139853292080335</v>
      </c>
      <c r="T5" s="14">
        <v>2.8935657108636548E-2</v>
      </c>
      <c r="U5" s="14">
        <v>1.0595973486954688E-2</v>
      </c>
      <c r="V5" s="14">
        <v>1.4164305949008671E-2</v>
      </c>
      <c r="W5" s="64">
        <v>2.7308162996312606</v>
      </c>
      <c r="X5" s="31">
        <v>46022</v>
      </c>
      <c r="Y5" s="28">
        <v>8</v>
      </c>
      <c r="Z5" s="48" t="s">
        <v>32</v>
      </c>
      <c r="AA5" s="48" t="s">
        <v>32</v>
      </c>
      <c r="AB5" s="49" t="s">
        <v>32</v>
      </c>
      <c r="AC5" s="12" t="s">
        <v>32</v>
      </c>
      <c r="AD5" s="12" t="s">
        <v>32</v>
      </c>
      <c r="AE5" s="12" t="s">
        <v>247</v>
      </c>
    </row>
    <row r="6" spans="1:31" s="12" customFormat="1" ht="21.75" customHeight="1" x14ac:dyDescent="0.35">
      <c r="A6" s="12" t="s">
        <v>34</v>
      </c>
      <c r="B6" s="13" t="s">
        <v>152</v>
      </c>
      <c r="C6" s="14">
        <v>2.1068160236747069E-2</v>
      </c>
      <c r="D6" s="14">
        <v>0.47056656497739624</v>
      </c>
      <c r="E6" s="14">
        <v>2.5597956078276349E-2</v>
      </c>
      <c r="F6" s="14">
        <v>0.13920236386097318</v>
      </c>
      <c r="G6" s="41">
        <v>0.82304072138894391</v>
      </c>
      <c r="H6" s="14">
        <v>2.3985422313020477E-2</v>
      </c>
      <c r="I6" s="14">
        <v>3.1911100164885402E-2</v>
      </c>
      <c r="J6" s="14">
        <v>0.13920236386097318</v>
      </c>
      <c r="K6" s="58">
        <v>0.75163257264986916</v>
      </c>
      <c r="L6" s="14">
        <v>1.7066686174867174E-2</v>
      </c>
      <c r="M6" s="14">
        <v>3.5191993554694719E-2</v>
      </c>
      <c r="N6" s="14">
        <v>0.13920236386097318</v>
      </c>
      <c r="O6" s="58">
        <v>0.48495934589049239</v>
      </c>
      <c r="P6" s="14">
        <v>5.4882306255097157E-2</v>
      </c>
      <c r="Q6" s="14">
        <v>2.7611313484761261E-2</v>
      </c>
      <c r="R6" s="14">
        <v>3.6546134215161528E-2</v>
      </c>
      <c r="S6" s="58">
        <v>1.9876745916266103</v>
      </c>
      <c r="T6" s="14">
        <v>2.7458769526387705E-2</v>
      </c>
      <c r="U6" s="14">
        <v>1.6747530719387203E-2</v>
      </c>
      <c r="V6" s="14">
        <v>1.0476131219959876E-2</v>
      </c>
      <c r="W6" s="64">
        <v>1.6395712291246021</v>
      </c>
      <c r="X6" s="31">
        <v>44196</v>
      </c>
      <c r="Y6" s="28">
        <v>8</v>
      </c>
      <c r="Z6" s="48" t="s">
        <v>107</v>
      </c>
      <c r="AA6" s="48" t="s">
        <v>106</v>
      </c>
      <c r="AB6" s="49" t="s">
        <v>108</v>
      </c>
      <c r="AC6" s="12" t="s">
        <v>108</v>
      </c>
      <c r="AD6" s="12" t="s">
        <v>106</v>
      </c>
      <c r="AE6" s="12" t="s">
        <v>33</v>
      </c>
    </row>
    <row r="7" spans="1:31" s="12" customFormat="1" ht="21" customHeight="1" x14ac:dyDescent="0.35">
      <c r="A7" s="12" t="s">
        <v>35</v>
      </c>
      <c r="B7" s="13" t="s">
        <v>153</v>
      </c>
      <c r="C7" s="14" t="s">
        <v>106</v>
      </c>
      <c r="D7" s="14" t="s">
        <v>106</v>
      </c>
      <c r="E7" s="14" t="s">
        <v>106</v>
      </c>
      <c r="F7" s="14" t="s">
        <v>106</v>
      </c>
      <c r="G7" s="57" t="s">
        <v>106</v>
      </c>
      <c r="H7" s="14" t="s">
        <v>106</v>
      </c>
      <c r="I7" s="14" t="s">
        <v>106</v>
      </c>
      <c r="J7" s="14" t="s">
        <v>106</v>
      </c>
      <c r="K7" s="57" t="s">
        <v>106</v>
      </c>
      <c r="L7" s="14">
        <v>5.5053385952500644E-2</v>
      </c>
      <c r="M7" s="14">
        <v>2.8607830208269732E-2</v>
      </c>
      <c r="N7" s="14">
        <v>3.2845412352731224E-2</v>
      </c>
      <c r="O7" s="57">
        <v>1.9244166912241472</v>
      </c>
      <c r="P7" s="14">
        <v>4.7420109747693839E-2</v>
      </c>
      <c r="Q7" s="14">
        <v>2.2749562365239454E-2</v>
      </c>
      <c r="R7" s="14">
        <v>2.4452133794694398E-2</v>
      </c>
      <c r="S7" s="57">
        <v>2.0844405262120613</v>
      </c>
      <c r="T7" s="14">
        <v>3.5462548849315656E-2</v>
      </c>
      <c r="U7" s="14">
        <v>2.3247323991222466E-2</v>
      </c>
      <c r="V7" s="14">
        <v>2.0400675130256115E-2</v>
      </c>
      <c r="W7" s="57">
        <v>1.5254464927965607</v>
      </c>
      <c r="X7" s="31">
        <v>45859</v>
      </c>
      <c r="Y7" s="28">
        <v>8</v>
      </c>
      <c r="Z7" s="48" t="s">
        <v>32</v>
      </c>
      <c r="AA7" s="48" t="s">
        <v>32</v>
      </c>
      <c r="AB7" s="49" t="s">
        <v>32</v>
      </c>
      <c r="AC7" s="12" t="s">
        <v>32</v>
      </c>
      <c r="AD7" s="12" t="s">
        <v>32</v>
      </c>
      <c r="AE7" s="12" t="s">
        <v>33</v>
      </c>
    </row>
    <row r="8" spans="1:31" s="12" customFormat="1" ht="21.75" customHeight="1" x14ac:dyDescent="0.35">
      <c r="A8" s="12" t="s">
        <v>149</v>
      </c>
      <c r="B8" s="13" t="s">
        <v>215</v>
      </c>
      <c r="C8" s="14" t="s">
        <v>106</v>
      </c>
      <c r="D8" s="14" t="s">
        <v>106</v>
      </c>
      <c r="E8" s="14" t="s">
        <v>106</v>
      </c>
      <c r="F8" s="14" t="s">
        <v>106</v>
      </c>
      <c r="G8" s="57" t="s">
        <v>106</v>
      </c>
      <c r="H8" s="14">
        <v>3.5217073251736286E-2</v>
      </c>
      <c r="I8" s="14">
        <v>2.2173724655157927E-2</v>
      </c>
      <c r="J8" s="14">
        <v>0.10106082834894475</v>
      </c>
      <c r="K8" s="57">
        <v>1.58823444411917</v>
      </c>
      <c r="L8" s="14">
        <v>3.4202744810927665E-2</v>
      </c>
      <c r="M8" s="14">
        <v>2.016626896388422E-2</v>
      </c>
      <c r="N8" s="14">
        <v>5.9720887180034814E-2</v>
      </c>
      <c r="O8" s="57">
        <v>1.6960373221333791</v>
      </c>
      <c r="P8" s="14">
        <v>5.9489391265839853E-2</v>
      </c>
      <c r="Q8" s="14">
        <v>1.8325374365853339E-2</v>
      </c>
      <c r="R8" s="14">
        <v>1.8894858019953869E-2</v>
      </c>
      <c r="S8" s="57">
        <v>3.2462851824020387</v>
      </c>
      <c r="T8" s="14">
        <v>4.3952862559960337E-2</v>
      </c>
      <c r="U8" s="14">
        <v>1.8600210049756517E-2</v>
      </c>
      <c r="V8" s="14">
        <v>1.8894858019953869E-2</v>
      </c>
      <c r="W8" s="57">
        <v>2.3630304411823402</v>
      </c>
      <c r="X8" s="31" t="s">
        <v>106</v>
      </c>
      <c r="Y8" s="28">
        <v>6</v>
      </c>
      <c r="Z8" s="48" t="s">
        <v>32</v>
      </c>
      <c r="AA8" s="48" t="s">
        <v>32</v>
      </c>
      <c r="AB8" s="49" t="s">
        <v>32</v>
      </c>
      <c r="AC8" s="12" t="s">
        <v>32</v>
      </c>
      <c r="AD8" s="12" t="s">
        <v>32</v>
      </c>
      <c r="AE8" s="12" t="s">
        <v>31</v>
      </c>
    </row>
    <row r="9" spans="1:31" s="12" customFormat="1" ht="21.75" customHeight="1" x14ac:dyDescent="0.35">
      <c r="A9" s="12" t="s">
        <v>48</v>
      </c>
      <c r="B9" s="13" t="s">
        <v>139</v>
      </c>
      <c r="C9" s="14" t="s">
        <v>106</v>
      </c>
      <c r="D9" s="14" t="s">
        <v>106</v>
      </c>
      <c r="E9" s="14" t="s">
        <v>106</v>
      </c>
      <c r="F9" s="14" t="s">
        <v>106</v>
      </c>
      <c r="G9" s="57" t="s">
        <v>106</v>
      </c>
      <c r="H9" s="14">
        <v>8.4757924357354852E-3</v>
      </c>
      <c r="I9" s="14">
        <v>2.8448824260539522E-2</v>
      </c>
      <c r="J9" s="14">
        <v>0.1781564678543765</v>
      </c>
      <c r="K9" s="57">
        <v>0.2979312029949861</v>
      </c>
      <c r="L9" s="14">
        <v>-5.7285032156222382E-3</v>
      </c>
      <c r="M9" s="14">
        <v>3.4257613920890211E-2</v>
      </c>
      <c r="N9" s="14">
        <v>0.1781564678543765</v>
      </c>
      <c r="O9" s="57">
        <v>-0.16721839497785368</v>
      </c>
      <c r="P9" s="14">
        <v>4.0480400039066833E-2</v>
      </c>
      <c r="Q9" s="14">
        <v>3.2363265463960886E-2</v>
      </c>
      <c r="R9" s="14">
        <v>2.8648164726947204E-2</v>
      </c>
      <c r="S9" s="57">
        <v>1.2508132124103803</v>
      </c>
      <c r="T9" s="14">
        <v>2.6131021880221539E-2</v>
      </c>
      <c r="U9" s="14">
        <v>3.1817136167868278E-2</v>
      </c>
      <c r="V9" s="14">
        <v>1.9408739120894004E-2</v>
      </c>
      <c r="W9" s="57">
        <v>0.82128767788381052</v>
      </c>
      <c r="X9" s="31" t="s">
        <v>106</v>
      </c>
      <c r="Y9" s="28">
        <v>8</v>
      </c>
      <c r="Z9" s="48" t="s">
        <v>108</v>
      </c>
      <c r="AA9" s="48" t="s">
        <v>106</v>
      </c>
      <c r="AB9" s="49" t="s">
        <v>108</v>
      </c>
      <c r="AC9" s="12" t="s">
        <v>108</v>
      </c>
      <c r="AD9" s="12" t="s">
        <v>106</v>
      </c>
      <c r="AE9" s="12" t="s">
        <v>33</v>
      </c>
    </row>
    <row r="10" spans="1:31" s="12" customFormat="1" ht="21.75" customHeight="1" x14ac:dyDescent="0.35">
      <c r="A10" s="12" t="s">
        <v>74</v>
      </c>
      <c r="B10" s="13" t="s">
        <v>154</v>
      </c>
      <c r="C10" s="14" t="s">
        <v>106</v>
      </c>
      <c r="D10" s="14" t="s">
        <v>106</v>
      </c>
      <c r="E10" s="14" t="s">
        <v>106</v>
      </c>
      <c r="F10" s="14" t="s">
        <v>106</v>
      </c>
      <c r="G10" s="57" t="s">
        <v>106</v>
      </c>
      <c r="H10" s="14">
        <v>9.3904122202681517E-3</v>
      </c>
      <c r="I10" s="14">
        <v>3.6921718562668938E-2</v>
      </c>
      <c r="J10" s="14">
        <v>0.19058823529411767</v>
      </c>
      <c r="K10" s="57">
        <v>0.25433302093805227</v>
      </c>
      <c r="L10" s="14">
        <v>-4.6440412033103007E-3</v>
      </c>
      <c r="M10" s="14">
        <v>3.9895300492453718E-2</v>
      </c>
      <c r="N10" s="14">
        <v>0.17604790419161676</v>
      </c>
      <c r="O10" s="57">
        <v>-0.11640572062337846</v>
      </c>
      <c r="P10" s="14">
        <v>3.8747311206105639E-2</v>
      </c>
      <c r="Q10" s="14">
        <v>3.9724107079310844E-2</v>
      </c>
      <c r="R10" s="14">
        <v>3.4293552812071332E-2</v>
      </c>
      <c r="S10" s="57">
        <v>0.97541050145557728</v>
      </c>
      <c r="T10" s="14">
        <v>2.8700611887455763E-2</v>
      </c>
      <c r="U10" s="14">
        <v>2.5836833238685131E-2</v>
      </c>
      <c r="V10" s="14">
        <v>2.2318660880347146E-2</v>
      </c>
      <c r="W10" s="57">
        <v>1.1108409309420606</v>
      </c>
      <c r="X10" s="31">
        <v>45838</v>
      </c>
      <c r="Y10" s="28">
        <v>8</v>
      </c>
      <c r="Z10" s="48" t="s">
        <v>108</v>
      </c>
      <c r="AA10" s="48" t="s">
        <v>108</v>
      </c>
      <c r="AB10" s="49" t="s">
        <v>108</v>
      </c>
      <c r="AC10" s="12" t="s">
        <v>108</v>
      </c>
      <c r="AD10" s="12" t="s">
        <v>108</v>
      </c>
      <c r="AE10" s="12" t="s">
        <v>33</v>
      </c>
    </row>
    <row r="11" spans="1:31" s="12" customFormat="1" ht="21.75" customHeight="1" x14ac:dyDescent="0.35">
      <c r="A11" s="12" t="s">
        <v>49</v>
      </c>
      <c r="B11" s="13" t="s">
        <v>216</v>
      </c>
      <c r="C11" s="14" t="s">
        <v>106</v>
      </c>
      <c r="D11" s="14" t="s">
        <v>106</v>
      </c>
      <c r="E11" s="14" t="s">
        <v>106</v>
      </c>
      <c r="F11" s="14" t="s">
        <v>106</v>
      </c>
      <c r="G11" s="57" t="s">
        <v>106</v>
      </c>
      <c r="H11" s="14">
        <v>-8.2254539735528986E-3</v>
      </c>
      <c r="I11" s="14">
        <v>3.2944992081740697E-2</v>
      </c>
      <c r="J11" s="14">
        <v>0.18513323983169702</v>
      </c>
      <c r="K11" s="57">
        <v>-0.24967236152749728</v>
      </c>
      <c r="L11" s="14">
        <v>-1.9099325167302839E-2</v>
      </c>
      <c r="M11" s="14">
        <v>3.9312287067608809E-2</v>
      </c>
      <c r="N11" s="14">
        <v>0.18038183015141535</v>
      </c>
      <c r="O11" s="57">
        <v>-0.48583602206750381</v>
      </c>
      <c r="P11" s="14">
        <v>1.3992916002388611E-2</v>
      </c>
      <c r="Q11" s="14">
        <v>3.5204040430656891E-2</v>
      </c>
      <c r="R11" s="14">
        <v>3.9651416122004367E-2</v>
      </c>
      <c r="S11" s="57">
        <v>0.39748039802281043</v>
      </c>
      <c r="T11" s="14">
        <v>-2.1007344590284749E-4</v>
      </c>
      <c r="U11" s="14">
        <v>2.6938265937284392E-2</v>
      </c>
      <c r="V11" s="14">
        <v>3.1505009813035813E-2</v>
      </c>
      <c r="W11" s="57">
        <v>-7.7983284592974319E-3</v>
      </c>
      <c r="X11" s="31">
        <v>44196</v>
      </c>
      <c r="Y11" s="28">
        <v>8</v>
      </c>
      <c r="Z11" s="48" t="s">
        <v>107</v>
      </c>
      <c r="AA11" s="48" t="s">
        <v>106</v>
      </c>
      <c r="AB11" s="49" t="s">
        <v>108</v>
      </c>
      <c r="AC11" s="12" t="s">
        <v>108</v>
      </c>
      <c r="AD11" s="12" t="s">
        <v>106</v>
      </c>
      <c r="AE11" s="12" t="s">
        <v>33</v>
      </c>
    </row>
    <row r="12" spans="1:31" s="12" customFormat="1" ht="21.75" customHeight="1" x14ac:dyDescent="0.35">
      <c r="A12" s="12" t="s">
        <v>243</v>
      </c>
      <c r="B12" s="13" t="s">
        <v>117</v>
      </c>
      <c r="C12" s="14" t="s">
        <v>106</v>
      </c>
      <c r="D12" s="14" t="s">
        <v>106</v>
      </c>
      <c r="E12" s="14" t="s">
        <v>106</v>
      </c>
      <c r="F12" s="14" t="s">
        <v>106</v>
      </c>
      <c r="G12" s="57" t="s">
        <v>106</v>
      </c>
      <c r="H12" s="14">
        <v>2.1373360223653215E-2</v>
      </c>
      <c r="I12" s="14">
        <v>3.1123158708403743E-2</v>
      </c>
      <c r="J12" s="14">
        <v>0.10411778982282993</v>
      </c>
      <c r="K12" s="57">
        <v>0.68673493021394616</v>
      </c>
      <c r="L12" s="14">
        <v>2.0053027015610736E-2</v>
      </c>
      <c r="M12" s="14">
        <v>3.2611448998868475E-2</v>
      </c>
      <c r="N12" s="14">
        <v>9.7105584997961736E-2</v>
      </c>
      <c r="O12" s="57">
        <v>0.61490757483074487</v>
      </c>
      <c r="P12" s="14">
        <v>5.7757749037021355E-2</v>
      </c>
      <c r="Q12" s="14">
        <v>2.7741789557068207E-2</v>
      </c>
      <c r="R12" s="14">
        <v>2.684312845820248E-2</v>
      </c>
      <c r="S12" s="57">
        <v>2.0819763237770474</v>
      </c>
      <c r="T12" s="14">
        <v>2.9124186285291565E-2</v>
      </c>
      <c r="U12" s="14">
        <v>2.5845175685266286E-2</v>
      </c>
      <c r="V12" s="14">
        <v>2.684312845820248E-2</v>
      </c>
      <c r="W12" s="57">
        <v>1.126871283057076</v>
      </c>
      <c r="X12" s="31">
        <v>44196</v>
      </c>
      <c r="Y12" s="28">
        <v>6</v>
      </c>
      <c r="Z12" s="48" t="s">
        <v>108</v>
      </c>
      <c r="AA12" s="48" t="s">
        <v>106</v>
      </c>
      <c r="AB12" s="49" t="s">
        <v>108</v>
      </c>
      <c r="AC12" s="12" t="s">
        <v>108</v>
      </c>
      <c r="AD12" s="12" t="s">
        <v>106</v>
      </c>
      <c r="AE12" s="12" t="s">
        <v>33</v>
      </c>
    </row>
    <row r="13" spans="1:31" s="12" customFormat="1" ht="21.75" customHeight="1" x14ac:dyDescent="0.35">
      <c r="A13" s="12" t="s">
        <v>58</v>
      </c>
      <c r="B13" s="13" t="s">
        <v>272</v>
      </c>
      <c r="C13" s="14" t="s">
        <v>106</v>
      </c>
      <c r="D13" s="14" t="s">
        <v>106</v>
      </c>
      <c r="E13" s="14" t="s">
        <v>106</v>
      </c>
      <c r="F13" s="14" t="s">
        <v>106</v>
      </c>
      <c r="G13" s="57" t="s">
        <v>106</v>
      </c>
      <c r="H13" s="14" t="s">
        <v>106</v>
      </c>
      <c r="I13" s="14" t="s">
        <v>106</v>
      </c>
      <c r="J13" s="14" t="s">
        <v>106</v>
      </c>
      <c r="K13" s="57" t="s">
        <v>106</v>
      </c>
      <c r="L13" s="14">
        <v>3.9814745332964918E-2</v>
      </c>
      <c r="M13" s="14">
        <v>2.3820945290053564E-2</v>
      </c>
      <c r="N13" s="14">
        <v>4.8609976212525614E-2</v>
      </c>
      <c r="O13" s="57">
        <v>1.6714175213520837</v>
      </c>
      <c r="P13" s="14">
        <v>6.6871195092156999E-2</v>
      </c>
      <c r="Q13" s="14">
        <v>1.9517224317202549E-2</v>
      </c>
      <c r="R13" s="14">
        <v>1.9691644335805586E-2</v>
      </c>
      <c r="S13" s="57">
        <v>3.4262656413297714</v>
      </c>
      <c r="T13" s="14">
        <v>4.588670488798452E-2</v>
      </c>
      <c r="U13" s="14">
        <v>1.8869449777150556E-2</v>
      </c>
      <c r="V13" s="14">
        <v>1.9691644335805586E-2</v>
      </c>
      <c r="W13" s="57">
        <v>2.4317987768540963</v>
      </c>
      <c r="X13" s="31">
        <v>43830</v>
      </c>
      <c r="Y13" s="28">
        <v>8</v>
      </c>
      <c r="Z13" s="48" t="s">
        <v>107</v>
      </c>
      <c r="AA13" s="48" t="s">
        <v>106</v>
      </c>
      <c r="AB13" s="49" t="s">
        <v>108</v>
      </c>
      <c r="AC13" s="12" t="s">
        <v>108</v>
      </c>
      <c r="AD13" s="12" t="s">
        <v>106</v>
      </c>
      <c r="AE13" s="12" t="s">
        <v>33</v>
      </c>
    </row>
    <row r="14" spans="1:31" s="12" customFormat="1" ht="21.75" customHeight="1" x14ac:dyDescent="0.35">
      <c r="A14" s="12" t="s">
        <v>59</v>
      </c>
      <c r="B14" s="13" t="s">
        <v>94</v>
      </c>
      <c r="C14" s="14" t="s">
        <v>106</v>
      </c>
      <c r="D14" s="14" t="s">
        <v>106</v>
      </c>
      <c r="E14" s="14" t="s">
        <v>106</v>
      </c>
      <c r="F14" s="14" t="s">
        <v>106</v>
      </c>
      <c r="G14" s="57" t="s">
        <v>106</v>
      </c>
      <c r="H14" s="14">
        <v>4.0552330916197032E-3</v>
      </c>
      <c r="I14" s="14">
        <v>2.3526725062676911E-2</v>
      </c>
      <c r="J14" s="14">
        <v>0.13770088697637661</v>
      </c>
      <c r="K14" s="57">
        <v>0.17236708810156393</v>
      </c>
      <c r="L14" s="14">
        <v>-9.2645014573689011E-4</v>
      </c>
      <c r="M14" s="14">
        <v>2.41522019913212E-2</v>
      </c>
      <c r="N14" s="14">
        <v>0.13221387538665494</v>
      </c>
      <c r="O14" s="57">
        <v>-3.8358827326377888E-2</v>
      </c>
      <c r="P14" s="14">
        <v>3.7640580633442555E-2</v>
      </c>
      <c r="Q14" s="14">
        <v>2.0872805001662057E-2</v>
      </c>
      <c r="R14" s="14">
        <v>2.132961227947773E-2</v>
      </c>
      <c r="S14" s="57">
        <v>1.8033312068236786</v>
      </c>
      <c r="T14" s="14">
        <v>2.87804318129119E-2</v>
      </c>
      <c r="U14" s="14">
        <v>1.8357909999924839E-2</v>
      </c>
      <c r="V14" s="14">
        <v>1.7529809574657402E-2</v>
      </c>
      <c r="W14" s="57">
        <v>1.5677401083799698</v>
      </c>
      <c r="X14" s="31" t="s">
        <v>106</v>
      </c>
      <c r="Y14" s="28">
        <v>8</v>
      </c>
      <c r="Z14" s="48" t="s">
        <v>108</v>
      </c>
      <c r="AA14" s="48" t="s">
        <v>108</v>
      </c>
      <c r="AB14" s="49" t="s">
        <v>108</v>
      </c>
      <c r="AC14" s="12" t="s">
        <v>108</v>
      </c>
      <c r="AD14" s="12" t="s">
        <v>108</v>
      </c>
      <c r="AE14" s="12" t="s">
        <v>33</v>
      </c>
    </row>
    <row r="15" spans="1:31" s="12" customFormat="1" ht="21.75" customHeight="1" x14ac:dyDescent="0.35">
      <c r="A15" s="12" t="s">
        <v>42</v>
      </c>
      <c r="B15" s="13" t="s">
        <v>217</v>
      </c>
      <c r="C15" s="14" t="s">
        <v>106</v>
      </c>
      <c r="D15" s="14" t="s">
        <v>106</v>
      </c>
      <c r="E15" s="14" t="s">
        <v>106</v>
      </c>
      <c r="F15" s="14" t="s">
        <v>106</v>
      </c>
      <c r="G15" s="57" t="s">
        <v>106</v>
      </c>
      <c r="H15" s="14" t="s">
        <v>106</v>
      </c>
      <c r="I15" s="14" t="s">
        <v>106</v>
      </c>
      <c r="J15" s="14" t="s">
        <v>106</v>
      </c>
      <c r="K15" s="57" t="s">
        <v>106</v>
      </c>
      <c r="L15" s="14">
        <v>8.7976850693847197E-3</v>
      </c>
      <c r="M15" s="14">
        <v>5.108950096029527E-2</v>
      </c>
      <c r="N15" s="14">
        <v>0.19079636744673414</v>
      </c>
      <c r="O15" s="57">
        <v>0.17220142894372625</v>
      </c>
      <c r="P15" s="14">
        <v>5.8456079862521326E-2</v>
      </c>
      <c r="Q15" s="14">
        <v>4.401620911409887E-2</v>
      </c>
      <c r="R15" s="14">
        <v>4.1584548679542754E-2</v>
      </c>
      <c r="S15" s="57">
        <v>1.3280580276913763</v>
      </c>
      <c r="T15" s="14">
        <v>3.2796871080337242E-2</v>
      </c>
      <c r="U15" s="14">
        <v>2.014463912714469E-2</v>
      </c>
      <c r="V15" s="14">
        <v>2.6022926951719514E-2</v>
      </c>
      <c r="W15" s="57">
        <v>1.6280694269744354</v>
      </c>
      <c r="X15" s="31" t="s">
        <v>106</v>
      </c>
      <c r="Y15" s="28">
        <v>8</v>
      </c>
      <c r="Z15" s="48" t="s">
        <v>108</v>
      </c>
      <c r="AA15" s="48" t="s">
        <v>108</v>
      </c>
      <c r="AB15" s="49" t="s">
        <v>108</v>
      </c>
      <c r="AC15" s="12" t="s">
        <v>108</v>
      </c>
      <c r="AD15" s="12" t="s">
        <v>108</v>
      </c>
      <c r="AE15" s="12" t="s">
        <v>33</v>
      </c>
    </row>
    <row r="16" spans="1:31" s="12" customFormat="1" ht="21.75" customHeight="1" x14ac:dyDescent="0.35">
      <c r="A16" s="12" t="s">
        <v>150</v>
      </c>
      <c r="B16" s="13" t="s">
        <v>218</v>
      </c>
      <c r="C16" s="14">
        <v>3.2737707421503837E-2</v>
      </c>
      <c r="D16" s="14">
        <v>0.81456506081998903</v>
      </c>
      <c r="E16" s="14">
        <v>5.1265327881591778E-2</v>
      </c>
      <c r="F16" s="14">
        <v>0.17909002904162402</v>
      </c>
      <c r="G16" s="57">
        <v>0.63859354410291813</v>
      </c>
      <c r="H16" s="14">
        <v>8.2905293143231695E-3</v>
      </c>
      <c r="I16" s="14">
        <v>4.6127993752289154E-2</v>
      </c>
      <c r="J16" s="14">
        <v>0.17909002904162402</v>
      </c>
      <c r="K16" s="57">
        <v>0.17972880760528942</v>
      </c>
      <c r="L16" s="14">
        <v>2.1458179863400595E-3</v>
      </c>
      <c r="M16" s="14">
        <v>5.0560339087262207E-2</v>
      </c>
      <c r="N16" s="14">
        <v>0.17909002904162402</v>
      </c>
      <c r="O16" s="57">
        <v>4.2440735665094875E-2</v>
      </c>
      <c r="P16" s="14">
        <v>4.6278142897659746E-2</v>
      </c>
      <c r="Q16" s="14">
        <v>4.4227814997328335E-2</v>
      </c>
      <c r="R16" s="14">
        <v>3.2101167315174588E-2</v>
      </c>
      <c r="S16" s="57">
        <v>1.0463583358222708</v>
      </c>
      <c r="T16" s="14">
        <v>3.9302346943347777E-2</v>
      </c>
      <c r="U16" s="14">
        <v>3.465236307598691E-2</v>
      </c>
      <c r="V16" s="14">
        <v>3.2101167315174588E-2</v>
      </c>
      <c r="W16" s="57">
        <v>1.1341895170948146</v>
      </c>
      <c r="X16" s="31">
        <v>44926</v>
      </c>
      <c r="Y16" s="28">
        <v>8</v>
      </c>
      <c r="Z16" s="33" t="s">
        <v>108</v>
      </c>
      <c r="AA16" s="33" t="s">
        <v>108</v>
      </c>
      <c r="AB16" s="12" t="s">
        <v>108</v>
      </c>
      <c r="AC16" s="12" t="s">
        <v>108</v>
      </c>
      <c r="AD16" s="12" t="s">
        <v>108</v>
      </c>
      <c r="AE16" s="12" t="s">
        <v>54</v>
      </c>
    </row>
    <row r="17" spans="1:31" s="12" customFormat="1" ht="21.75" customHeight="1" x14ac:dyDescent="0.35">
      <c r="A17" s="12" t="s">
        <v>60</v>
      </c>
      <c r="B17" s="13" t="s">
        <v>95</v>
      </c>
      <c r="C17" s="14" t="s">
        <v>106</v>
      </c>
      <c r="D17" s="14" t="s">
        <v>106</v>
      </c>
      <c r="E17" s="14" t="s">
        <v>106</v>
      </c>
      <c r="F17" s="14" t="s">
        <v>106</v>
      </c>
      <c r="G17" s="57" t="s">
        <v>106</v>
      </c>
      <c r="H17" s="14">
        <v>-3.957331859860802E-3</v>
      </c>
      <c r="I17" s="14">
        <v>3.7267208896219768E-2</v>
      </c>
      <c r="J17" s="14">
        <v>0.19688670571104536</v>
      </c>
      <c r="K17" s="57">
        <v>-0.10618803975583525</v>
      </c>
      <c r="L17" s="14">
        <v>-1.70616311260956E-2</v>
      </c>
      <c r="M17" s="14">
        <v>4.5124463195797389E-2</v>
      </c>
      <c r="N17" s="14">
        <v>0.19132238364264992</v>
      </c>
      <c r="O17" s="57">
        <v>-0.37810158653997272</v>
      </c>
      <c r="P17" s="14">
        <v>2.2729304937428862E-2</v>
      </c>
      <c r="Q17" s="14">
        <v>3.8168796680525328E-2</v>
      </c>
      <c r="R17" s="14">
        <v>4.6085397154561308E-2</v>
      </c>
      <c r="S17" s="57">
        <v>0.59549440679710819</v>
      </c>
      <c r="T17" s="14">
        <v>1.0003777762377375E-2</v>
      </c>
      <c r="U17" s="14">
        <v>2.9156112692497217E-2</v>
      </c>
      <c r="V17" s="14">
        <v>2.8811998291805849E-2</v>
      </c>
      <c r="W17" s="57">
        <v>0.34311082097551576</v>
      </c>
      <c r="X17" s="31">
        <v>44196</v>
      </c>
      <c r="Y17" s="28">
        <v>6</v>
      </c>
      <c r="Z17" s="48" t="s">
        <v>108</v>
      </c>
      <c r="AA17" s="48" t="s">
        <v>106</v>
      </c>
      <c r="AB17" s="49" t="s">
        <v>108</v>
      </c>
      <c r="AC17" s="12" t="s">
        <v>108</v>
      </c>
      <c r="AD17" s="12" t="s">
        <v>106</v>
      </c>
      <c r="AE17" s="12" t="s">
        <v>33</v>
      </c>
    </row>
    <row r="18" spans="1:31" s="12" customFormat="1" ht="21.75" customHeight="1" x14ac:dyDescent="0.35">
      <c r="B18" s="13"/>
      <c r="C18" s="14"/>
      <c r="D18" s="14"/>
      <c r="E18" s="14"/>
      <c r="F18" s="14"/>
      <c r="G18" s="25"/>
      <c r="H18" s="14"/>
      <c r="I18" s="14"/>
      <c r="J18" s="14"/>
      <c r="K18" s="25"/>
      <c r="L18" s="14"/>
      <c r="M18" s="14"/>
      <c r="N18" s="14"/>
      <c r="O18" s="25"/>
      <c r="P18" s="14"/>
      <c r="Q18" s="14"/>
      <c r="R18" s="14"/>
      <c r="S18" s="25"/>
      <c r="T18" s="14"/>
      <c r="U18" s="14"/>
      <c r="V18" s="14"/>
      <c r="W18" s="23"/>
      <c r="X18" s="16"/>
      <c r="Y18" s="28"/>
      <c r="Z18" s="28"/>
      <c r="AA18" s="15"/>
      <c r="AB18" s="15"/>
      <c r="AC18" s="15"/>
      <c r="AD18" s="15"/>
      <c r="AE18" s="8"/>
    </row>
    <row r="19" spans="1:31" s="8" customFormat="1" ht="21.75" customHeight="1" x14ac:dyDescent="0.35">
      <c r="A19" s="36" t="s">
        <v>2</v>
      </c>
      <c r="B19" s="36" t="s">
        <v>3</v>
      </c>
      <c r="C19" s="37">
        <f>AVERAGE(Table103[Performance annualisée depuis 01/08])</f>
        <v>2.983900704335592E-2</v>
      </c>
      <c r="D19" s="37">
        <f>AVERAGE(Table103[Perf. Totale depuis 01/08])</f>
        <v>0.73293548842010525</v>
      </c>
      <c r="E19" s="37">
        <f>AVERAGE(Table103[Volatilité annualisée depuis 01/08])</f>
        <v>4.3040979825532434E-2</v>
      </c>
      <c r="F19" s="37">
        <f>AVERAGE(Table103[Max Drawdown depuis 01/08])</f>
        <v>0.19074271668349896</v>
      </c>
      <c r="G19" s="42">
        <f>AVERAGE(Table103[Couple Rendement / Risque depuis 01/08])</f>
        <v>0.71499167997121205</v>
      </c>
      <c r="H19" s="37">
        <f>AVERAGE(Table103[Performance annualisée 10 ans])</f>
        <v>1.1528242205913379E-2</v>
      </c>
      <c r="I19" s="37">
        <f>AVERAGE(Table103[Volatilité annualisée 10 ans])</f>
        <v>3.1056922112264754E-2</v>
      </c>
      <c r="J19" s="37">
        <f>AVERAGE(Table103[Max Drawdown 10 ans])</f>
        <v>0.15291636913162929</v>
      </c>
      <c r="K19" s="42">
        <f>AVERAGE(Table103[Couple Rendement Risque 10 ans])</f>
        <v>0.4337429504003939</v>
      </c>
      <c r="L19" s="37">
        <f>AVERAGE(Table103[Performance annualisée 5 ans])</f>
        <v>1.0255622590737392E-2</v>
      </c>
      <c r="M19" s="37">
        <f>AVERAGE(Table103[Volatilité annualisée 5 ans])</f>
        <v>3.4338474190239762E-2</v>
      </c>
      <c r="N19" s="37">
        <f>AVERAGE(Table103[Max Drawdown 5 ans])</f>
        <v>0.13397404257323106</v>
      </c>
      <c r="O19" s="42">
        <f>AVERAGE(Table103[Couple Rendement Risque 5 ans])</f>
        <v>0.44746153910384756</v>
      </c>
      <c r="P19" s="37">
        <f>AVERAGE(Table103[Performance annualisée 3 ans])</f>
        <v>4.4516534184292578E-2</v>
      </c>
      <c r="Q19" s="37">
        <f>AVERAGE(Table103[Volatilité annualisée 3 ans])</f>
        <v>2.9530265583333375E-2</v>
      </c>
      <c r="R19" s="37">
        <f>AVERAGE(Table103[Max Drawdown 3 ans])</f>
        <v>3.166815281332834E-2</v>
      </c>
      <c r="S19" s="42">
        <f>AVERAGE(Table103[Couple Rendement Risque 3 ans])</f>
        <v>1.8058445557574907</v>
      </c>
      <c r="T19" s="37">
        <f>AVERAGE(Table103[Performance annualisée 1 an])</f>
        <v>2.8744252342313457E-2</v>
      </c>
      <c r="U19" s="37">
        <f>AVERAGE(Table103[Volatilité annualisée 1 an])</f>
        <v>2.2913308425267304E-2</v>
      </c>
      <c r="V19" s="37">
        <f>AVERAGE(Table103[Max Drawdown 1 an])</f>
        <v>2.2040311555563224E-2</v>
      </c>
      <c r="W19" s="42">
        <f>AVERAGE(Table103[Couple Rendement Risque 1 an])</f>
        <v>1.4086529871115006</v>
      </c>
      <c r="X19" s="38"/>
      <c r="Y19" s="68"/>
      <c r="Z19" s="37"/>
      <c r="AA19" s="37"/>
      <c r="AB19" s="37"/>
      <c r="AC19" s="37"/>
      <c r="AD19" s="37"/>
      <c r="AE19" s="37"/>
    </row>
    <row r="20" spans="1:31" s="8" customFormat="1" ht="21.75" customHeight="1" x14ac:dyDescent="0.35">
      <c r="A20" s="7"/>
      <c r="B20" s="2"/>
      <c r="C20" s="2"/>
      <c r="D20" s="2"/>
      <c r="E20" s="5"/>
      <c r="F20" s="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69"/>
      <c r="Z20" s="2"/>
      <c r="AA20" s="2"/>
      <c r="AB20" s="2"/>
      <c r="AC20" s="2"/>
      <c r="AD20" s="2"/>
    </row>
    <row r="21" spans="1:31" s="8" customFormat="1" ht="21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69"/>
      <c r="Z21" s="2"/>
      <c r="AA21" s="2"/>
      <c r="AB21" s="2"/>
      <c r="AC21" s="2"/>
      <c r="AD21" s="2"/>
    </row>
    <row r="22" spans="1:31" s="8" customFormat="1" ht="21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69"/>
      <c r="Z22" s="2"/>
      <c r="AA22" s="2"/>
      <c r="AB22" s="2"/>
      <c r="AC22" s="2"/>
      <c r="AD22" s="2"/>
    </row>
    <row r="23" spans="1:31" s="8" customFormat="1" ht="21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69"/>
      <c r="Z23" s="2"/>
      <c r="AA23" s="2"/>
      <c r="AB23" s="2"/>
      <c r="AC23" s="2"/>
      <c r="AD23" s="2"/>
    </row>
    <row r="24" spans="1:31" s="8" customFormat="1" ht="21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69"/>
      <c r="Z24" s="2"/>
      <c r="AA24" s="2"/>
      <c r="AB24" s="2"/>
      <c r="AC24" s="6"/>
      <c r="AD24" s="2"/>
    </row>
    <row r="25" spans="1:31" s="8" customFormat="1" ht="21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69"/>
      <c r="Z25" s="2"/>
      <c r="AA25" s="2"/>
      <c r="AB25" s="2"/>
      <c r="AC25" s="2"/>
      <c r="AD25" s="2"/>
      <c r="AE25" s="2"/>
    </row>
    <row r="26" spans="1:31" ht="21.75" customHeight="1" x14ac:dyDescent="0.35">
      <c r="E26" s="2"/>
      <c r="F26" s="2"/>
      <c r="AE26" s="8"/>
    </row>
    <row r="27" spans="1:31" s="8" customFormat="1" ht="21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69"/>
      <c r="Z27" s="2"/>
      <c r="AA27" s="2"/>
      <c r="AB27" s="2"/>
      <c r="AC27" s="2"/>
      <c r="AD27" s="2"/>
    </row>
    <row r="28" spans="1:31" s="8" customFormat="1" ht="21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69"/>
      <c r="Z28" s="2"/>
      <c r="AA28" s="2"/>
      <c r="AB28" s="2"/>
      <c r="AC28" s="2"/>
      <c r="AD28" s="2"/>
      <c r="AE28" s="1"/>
    </row>
    <row r="29" spans="1:31" s="1" customFormat="1" ht="21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69"/>
      <c r="Z29" s="2"/>
      <c r="AA29" s="2"/>
      <c r="AB29" s="2"/>
      <c r="AC29" s="2"/>
      <c r="AD29" s="2"/>
      <c r="AE29" s="2"/>
    </row>
    <row r="30" spans="1:31" ht="21.75" customHeight="1" x14ac:dyDescent="0.35">
      <c r="E30" s="2"/>
      <c r="F30" s="2"/>
    </row>
    <row r="31" spans="1:31" ht="21.75" customHeight="1" x14ac:dyDescent="0.35">
      <c r="E31" s="2"/>
      <c r="F31" s="2"/>
    </row>
    <row r="32" spans="1:31" ht="21.75" customHeight="1" x14ac:dyDescent="0.35">
      <c r="E32" s="2"/>
      <c r="F32" s="2"/>
    </row>
    <row r="33" spans="5:6" ht="21.75" customHeight="1" x14ac:dyDescent="0.35">
      <c r="E33" s="2"/>
      <c r="F33" s="2"/>
    </row>
    <row r="34" spans="5:6" ht="21.75" customHeight="1" x14ac:dyDescent="0.35">
      <c r="E34" s="2"/>
      <c r="F34" s="2"/>
    </row>
    <row r="35" spans="5:6" x14ac:dyDescent="0.35">
      <c r="E35" s="2"/>
      <c r="F35" s="2"/>
    </row>
    <row r="36" spans="5:6" x14ac:dyDescent="0.35">
      <c r="E36" s="2"/>
      <c r="F36" s="2"/>
    </row>
    <row r="37" spans="5:6" x14ac:dyDescent="0.35">
      <c r="E37" s="2"/>
      <c r="F37" s="2"/>
    </row>
    <row r="38" spans="5:6" x14ac:dyDescent="0.35">
      <c r="E38" s="2"/>
      <c r="F38" s="2"/>
    </row>
    <row r="39" spans="5:6" x14ac:dyDescent="0.35">
      <c r="E39" s="2"/>
      <c r="F39" s="2"/>
    </row>
    <row r="40" spans="5:6" x14ac:dyDescent="0.35">
      <c r="E40" s="2"/>
      <c r="F40" s="2"/>
    </row>
    <row r="41" spans="5:6" x14ac:dyDescent="0.35">
      <c r="E41" s="2"/>
      <c r="F41" s="2"/>
    </row>
    <row r="42" spans="5:6" x14ac:dyDescent="0.35">
      <c r="E42" s="2"/>
      <c r="F42" s="2"/>
    </row>
    <row r="43" spans="5:6" x14ac:dyDescent="0.35">
      <c r="E43" s="2"/>
      <c r="F43" s="2"/>
    </row>
    <row r="44" spans="5:6" x14ac:dyDescent="0.35">
      <c r="E44" s="2"/>
      <c r="F44" s="2"/>
    </row>
    <row r="45" spans="5:6" x14ac:dyDescent="0.35">
      <c r="E45" s="2"/>
      <c r="F45" s="2"/>
    </row>
    <row r="46" spans="5:6" x14ac:dyDescent="0.35">
      <c r="E46" s="2"/>
      <c r="F46" s="2"/>
    </row>
    <row r="47" spans="5:6" x14ac:dyDescent="0.35">
      <c r="E47" s="2"/>
      <c r="F47" s="2"/>
    </row>
  </sheetData>
  <sheetProtection selectLockedCells="1"/>
  <phoneticPr fontId="22" type="noConversion"/>
  <conditionalFormatting sqref="C4:C18">
    <cfRule type="iconSet" priority="446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18">
    <cfRule type="iconSet" priority="446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18">
    <cfRule type="iconSet" priority="446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18">
    <cfRule type="iconSet" priority="446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17">
    <cfRule type="iconSet" priority="4470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18">
    <cfRule type="iconSet" priority="345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7:X27">
    <cfRule type="iconSet" priority="11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18">
    <cfRule type="iconSet" priority="447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8">
    <cfRule type="iconSet" priority="447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18">
    <cfRule type="iconSet" priority="447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7">
    <cfRule type="iconSet" priority="447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18">
    <cfRule type="iconSet" priority="346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18">
    <cfRule type="iconSet" priority="447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18">
    <cfRule type="iconSet" priority="448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18">
    <cfRule type="iconSet" priority="448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7">
    <cfRule type="iconSet" priority="448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18">
    <cfRule type="iconSet" priority="347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18">
    <cfRule type="iconSet" priority="448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18">
    <cfRule type="iconSet" priority="448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18">
    <cfRule type="iconSet" priority="448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7">
    <cfRule type="iconSet" priority="449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18">
    <cfRule type="iconSet" priority="348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18">
    <cfRule type="iconSet" priority="449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18">
    <cfRule type="iconSet" priority="4494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18">
    <cfRule type="iconSet" priority="449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7">
    <cfRule type="iconSet" priority="449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18">
    <cfRule type="iconSet" priority="3490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8" orientation="landscape" horizontalDpi="4294967292" verticalDpi="4294967292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B8AD6-F3A5-489D-8FF3-38210A67BD52}">
  <sheetPr>
    <tabColor rgb="FF008000"/>
    <pageSetUpPr fitToPage="1"/>
  </sheetPr>
  <dimension ref="A1:AE43"/>
  <sheetViews>
    <sheetView showGridLines="0" zoomScale="70" zoomScaleNormal="70" workbookViewId="0">
      <pane xSplit="1" topLeftCell="B1" activePane="topRight" state="frozenSplit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145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8" customFormat="1" ht="21.75" customHeight="1" x14ac:dyDescent="0.35">
      <c r="A4" s="12" t="s">
        <v>47</v>
      </c>
      <c r="B4" s="13" t="s">
        <v>273</v>
      </c>
      <c r="C4" s="21" t="s">
        <v>106</v>
      </c>
      <c r="D4" s="21" t="s">
        <v>106</v>
      </c>
      <c r="E4" s="21" t="s">
        <v>106</v>
      </c>
      <c r="F4" s="21" t="s">
        <v>106</v>
      </c>
      <c r="G4" s="41" t="s">
        <v>106</v>
      </c>
      <c r="H4" s="21">
        <v>1.5817156068958171E-2</v>
      </c>
      <c r="I4" s="43">
        <v>4.0143014260561889E-2</v>
      </c>
      <c r="J4" s="21">
        <v>0.15177196464822185</v>
      </c>
      <c r="K4" s="41">
        <v>0.39402013925241236</v>
      </c>
      <c r="L4" s="21">
        <v>6.3967761634367015E-3</v>
      </c>
      <c r="M4" s="21">
        <v>4.053287487167382E-2</v>
      </c>
      <c r="N4" s="21">
        <v>0.15177196464822185</v>
      </c>
      <c r="O4" s="41">
        <v>0.15781698642617265</v>
      </c>
      <c r="P4" s="21">
        <v>4.6982530482309492E-2</v>
      </c>
      <c r="Q4" s="21">
        <v>4.1656597256124174E-2</v>
      </c>
      <c r="R4" s="21">
        <v>5.1391576775057735E-2</v>
      </c>
      <c r="S4" s="41">
        <v>1.1278532952040945</v>
      </c>
      <c r="T4" s="21">
        <v>5.5666892692675995E-2</v>
      </c>
      <c r="U4" s="21">
        <v>4.0868080365159196E-2</v>
      </c>
      <c r="V4" s="21">
        <v>3.7818129825540434E-2</v>
      </c>
      <c r="W4" s="41">
        <v>1.3621117555629811</v>
      </c>
      <c r="X4" s="31" t="s">
        <v>106</v>
      </c>
      <c r="Y4" s="48" t="s">
        <v>106</v>
      </c>
      <c r="Z4" s="48" t="s">
        <v>106</v>
      </c>
      <c r="AA4" s="50" t="s">
        <v>106</v>
      </c>
      <c r="AB4" s="50" t="s">
        <v>106</v>
      </c>
      <c r="AC4" s="47" t="s">
        <v>106</v>
      </c>
      <c r="AD4" s="47" t="s">
        <v>106</v>
      </c>
      <c r="AE4" s="47" t="s">
        <v>106</v>
      </c>
    </row>
    <row r="5" spans="1:31" s="8" customFormat="1" ht="21.75" customHeight="1" x14ac:dyDescent="0.35">
      <c r="A5" s="12" t="s">
        <v>27</v>
      </c>
      <c r="B5" s="13" t="s">
        <v>219</v>
      </c>
      <c r="C5" s="21" t="s">
        <v>106</v>
      </c>
      <c r="D5" s="21" t="s">
        <v>106</v>
      </c>
      <c r="E5" s="21" t="s">
        <v>106</v>
      </c>
      <c r="F5" s="21" t="s">
        <v>106</v>
      </c>
      <c r="G5" s="41" t="s">
        <v>106</v>
      </c>
      <c r="H5" s="21" t="s">
        <v>106</v>
      </c>
      <c r="I5" s="43" t="s">
        <v>106</v>
      </c>
      <c r="J5" s="21" t="s">
        <v>106</v>
      </c>
      <c r="K5" s="41" t="s">
        <v>106</v>
      </c>
      <c r="L5" s="21">
        <v>1.3179218577958007E-2</v>
      </c>
      <c r="M5" s="21">
        <v>1.6911240970323059E-2</v>
      </c>
      <c r="N5" s="21">
        <v>8.2036505900278223E-2</v>
      </c>
      <c r="O5" s="41">
        <v>0.77931705905472892</v>
      </c>
      <c r="P5" s="21">
        <v>4.0020098819051997E-2</v>
      </c>
      <c r="Q5" s="21">
        <v>1.6613537716287607E-2</v>
      </c>
      <c r="R5" s="21">
        <v>1.8117613823626443E-2</v>
      </c>
      <c r="S5" s="41">
        <v>2.4088848204688533</v>
      </c>
      <c r="T5" s="21">
        <v>3.9928491130403643E-2</v>
      </c>
      <c r="U5" s="21">
        <v>1.6397251926181036E-2</v>
      </c>
      <c r="V5" s="21">
        <v>1.6201620162016234E-2</v>
      </c>
      <c r="W5" s="41">
        <v>2.4350721273392728</v>
      </c>
      <c r="X5" s="31" t="s">
        <v>106</v>
      </c>
      <c r="Y5" s="48" t="s">
        <v>208</v>
      </c>
      <c r="Z5" s="48" t="s">
        <v>32</v>
      </c>
      <c r="AA5" s="50" t="s">
        <v>32</v>
      </c>
      <c r="AB5" s="50" t="s">
        <v>32</v>
      </c>
      <c r="AC5" s="47" t="s">
        <v>32</v>
      </c>
      <c r="AD5" s="47" t="s">
        <v>32</v>
      </c>
      <c r="AE5" s="47" t="s">
        <v>31</v>
      </c>
    </row>
    <row r="6" spans="1:31" s="8" customFormat="1" ht="21.75" customHeight="1" x14ac:dyDescent="0.35">
      <c r="A6" s="12" t="s">
        <v>245</v>
      </c>
      <c r="B6" s="13" t="s">
        <v>255</v>
      </c>
      <c r="C6" s="14" t="s">
        <v>106</v>
      </c>
      <c r="D6" s="14" t="s">
        <v>106</v>
      </c>
      <c r="E6" s="14" t="s">
        <v>106</v>
      </c>
      <c r="F6" s="14" t="s">
        <v>106</v>
      </c>
      <c r="G6" s="44" t="s">
        <v>106</v>
      </c>
      <c r="H6" s="40">
        <v>3.5458057886693872E-2</v>
      </c>
      <c r="I6" s="59">
        <v>5.2081223181521016E-2</v>
      </c>
      <c r="J6" s="40">
        <v>0.141769260058383</v>
      </c>
      <c r="K6" s="44">
        <v>0.68082229488179102</v>
      </c>
      <c r="L6" s="14">
        <v>3.1280621282579357E-2</v>
      </c>
      <c r="M6" s="14">
        <v>5.6229798397378974E-2</v>
      </c>
      <c r="N6" s="14">
        <v>0.141769260058383</v>
      </c>
      <c r="O6" s="44">
        <v>0.55629972317377951</v>
      </c>
      <c r="P6" s="14">
        <v>8.0884741558002071E-2</v>
      </c>
      <c r="Q6" s="14">
        <v>5.7794657723486104E-2</v>
      </c>
      <c r="R6" s="14">
        <v>7.2097267749639038E-2</v>
      </c>
      <c r="S6" s="44">
        <v>1.3995193456285981</v>
      </c>
      <c r="T6" s="14">
        <v>0.12000815262266418</v>
      </c>
      <c r="U6" s="14">
        <v>6.5397365682737352E-2</v>
      </c>
      <c r="V6" s="14">
        <v>6.0491321850458593E-2</v>
      </c>
      <c r="W6" s="44">
        <v>1.8350609595631187</v>
      </c>
      <c r="X6" s="31">
        <v>46022</v>
      </c>
      <c r="Y6" s="33">
        <v>8</v>
      </c>
      <c r="Z6" s="33" t="s">
        <v>32</v>
      </c>
      <c r="AA6" s="47" t="s">
        <v>32</v>
      </c>
      <c r="AB6" s="47" t="s">
        <v>32</v>
      </c>
      <c r="AC6" s="47" t="s">
        <v>32</v>
      </c>
      <c r="AD6" s="47" t="s">
        <v>32</v>
      </c>
      <c r="AE6" s="47" t="s">
        <v>247</v>
      </c>
    </row>
    <row r="7" spans="1:31" s="8" customFormat="1" ht="21.75" customHeight="1" x14ac:dyDescent="0.35">
      <c r="A7" s="12" t="s">
        <v>34</v>
      </c>
      <c r="B7" s="13" t="s">
        <v>155</v>
      </c>
      <c r="C7" s="21">
        <v>4.0678664524756547E-2</v>
      </c>
      <c r="D7" s="21">
        <v>1.0907625199999451</v>
      </c>
      <c r="E7" s="21">
        <v>7.4185348952329269E-2</v>
      </c>
      <c r="F7" s="21">
        <v>0.18964037756455121</v>
      </c>
      <c r="G7" s="41">
        <v>0.54833825140994119</v>
      </c>
      <c r="H7" s="21">
        <v>3.2298402502440426E-2</v>
      </c>
      <c r="I7" s="43">
        <v>6.438118065288749E-2</v>
      </c>
      <c r="J7" s="21">
        <v>0.17415362213323562</v>
      </c>
      <c r="K7" s="41">
        <v>0.50167459147072735</v>
      </c>
      <c r="L7" s="21">
        <v>2.5302798607169441E-2</v>
      </c>
      <c r="M7" s="21">
        <v>6.1819621773478425E-2</v>
      </c>
      <c r="N7" s="21">
        <v>0.17415362213323562</v>
      </c>
      <c r="O7" s="41">
        <v>0.409300443472217</v>
      </c>
      <c r="P7" s="21">
        <v>8.776318018417939E-2</v>
      </c>
      <c r="Q7" s="21">
        <v>5.7408988975185482E-2</v>
      </c>
      <c r="R7" s="21">
        <v>5.1381973010033631E-2</v>
      </c>
      <c r="S7" s="41">
        <v>1.5287358608965267</v>
      </c>
      <c r="T7" s="21">
        <v>0.10163326644695037</v>
      </c>
      <c r="U7" s="21">
        <v>5.1862921590374984E-2</v>
      </c>
      <c r="V7" s="21">
        <v>3.6533559898045596E-2</v>
      </c>
      <c r="W7" s="41">
        <v>1.9596517768449828</v>
      </c>
      <c r="X7" s="31">
        <v>45838</v>
      </c>
      <c r="Y7" s="28">
        <v>8</v>
      </c>
      <c r="Z7" s="48" t="s">
        <v>32</v>
      </c>
      <c r="AA7" s="50" t="s">
        <v>32</v>
      </c>
      <c r="AB7" s="50" t="s">
        <v>32</v>
      </c>
      <c r="AC7" s="47" t="s">
        <v>32</v>
      </c>
      <c r="AD7" s="47" t="s">
        <v>32</v>
      </c>
      <c r="AE7" s="47" t="s">
        <v>33</v>
      </c>
    </row>
    <row r="8" spans="1:31" s="8" customFormat="1" ht="21.75" customHeight="1" x14ac:dyDescent="0.35">
      <c r="A8" s="12" t="s">
        <v>131</v>
      </c>
      <c r="B8" s="13" t="s">
        <v>156</v>
      </c>
      <c r="C8" s="14">
        <v>1.9354469451702494E-2</v>
      </c>
      <c r="D8" s="14">
        <v>0.42557850908799733</v>
      </c>
      <c r="E8" s="14">
        <v>4.4204652729299292E-2</v>
      </c>
      <c r="F8" s="14">
        <v>0.13821687643375299</v>
      </c>
      <c r="G8" s="44">
        <v>0.4378378350854944</v>
      </c>
      <c r="H8" s="40">
        <v>2.0554247085121657E-2</v>
      </c>
      <c r="I8" s="43">
        <v>3.8727798352707538E-2</v>
      </c>
      <c r="J8" s="40">
        <v>0.13821687643375299</v>
      </c>
      <c r="K8" s="44">
        <v>0.53073626592265788</v>
      </c>
      <c r="L8" s="14">
        <v>2.2815439974745111E-2</v>
      </c>
      <c r="M8" s="14">
        <v>4.2483604016595122E-2</v>
      </c>
      <c r="N8" s="14">
        <v>0.13821687643375299</v>
      </c>
      <c r="O8" s="44">
        <v>0.53704106567401511</v>
      </c>
      <c r="P8" s="14">
        <v>6.2570054024854604E-2</v>
      </c>
      <c r="Q8" s="14">
        <v>3.8205296048573402E-2</v>
      </c>
      <c r="R8" s="14">
        <v>4.2770845150311938E-2</v>
      </c>
      <c r="S8" s="44">
        <v>1.6377324741916504</v>
      </c>
      <c r="T8" s="14">
        <v>4.797793258707661E-2</v>
      </c>
      <c r="U8" s="14">
        <v>4.4150448630313782E-2</v>
      </c>
      <c r="V8" s="14">
        <v>4.2770845150311938E-2</v>
      </c>
      <c r="W8" s="44">
        <v>1.0866918474331169</v>
      </c>
      <c r="X8" s="31">
        <v>45838</v>
      </c>
      <c r="Y8" s="28">
        <v>8</v>
      </c>
      <c r="Z8" s="48" t="s">
        <v>32</v>
      </c>
      <c r="AA8" s="50" t="s">
        <v>32</v>
      </c>
      <c r="AB8" s="50" t="s">
        <v>32</v>
      </c>
      <c r="AC8" s="47" t="s">
        <v>32</v>
      </c>
      <c r="AD8" s="47" t="s">
        <v>32</v>
      </c>
      <c r="AE8" s="47" t="s">
        <v>31</v>
      </c>
    </row>
    <row r="9" spans="1:31" s="8" customFormat="1" ht="21.75" customHeight="1" x14ac:dyDescent="0.35">
      <c r="A9" s="12" t="s">
        <v>35</v>
      </c>
      <c r="B9" s="13" t="s">
        <v>157</v>
      </c>
      <c r="C9" s="14">
        <v>4.519159460130906E-2</v>
      </c>
      <c r="D9" s="14">
        <v>1.2649842271293377</v>
      </c>
      <c r="E9" s="14">
        <v>4.7888900625811637E-2</v>
      </c>
      <c r="F9" s="14">
        <v>0.18748269177513166</v>
      </c>
      <c r="G9" s="44">
        <v>0.94367575807224202</v>
      </c>
      <c r="H9" s="40">
        <v>4.0044207197525106E-2</v>
      </c>
      <c r="I9" s="43">
        <v>5.1742474545855364E-2</v>
      </c>
      <c r="J9" s="40">
        <v>0.18748269177513166</v>
      </c>
      <c r="K9" s="44">
        <v>0.77391364732734247</v>
      </c>
      <c r="L9" s="14">
        <v>5.0173896814747154E-2</v>
      </c>
      <c r="M9" s="14">
        <v>4.2819868637013592E-2</v>
      </c>
      <c r="N9" s="14">
        <v>9.4324582846211077E-2</v>
      </c>
      <c r="O9" s="44">
        <v>1.1717433614772168</v>
      </c>
      <c r="P9" s="14">
        <v>6.8850100663791158E-2</v>
      </c>
      <c r="Q9" s="14">
        <v>3.5463695120437004E-2</v>
      </c>
      <c r="R9" s="14">
        <v>3.8679201159908375E-2</v>
      </c>
      <c r="S9" s="44">
        <v>1.9414248974894399</v>
      </c>
      <c r="T9" s="14">
        <v>5.8160129245542924E-2</v>
      </c>
      <c r="U9" s="14">
        <v>4.1281822523075121E-2</v>
      </c>
      <c r="V9" s="14">
        <v>3.712144453696805E-2</v>
      </c>
      <c r="W9" s="44">
        <v>1.4088556582751017</v>
      </c>
      <c r="X9" s="31">
        <v>45859</v>
      </c>
      <c r="Y9" s="28">
        <v>8</v>
      </c>
      <c r="Z9" s="48" t="s">
        <v>32</v>
      </c>
      <c r="AA9" s="50" t="s">
        <v>32</v>
      </c>
      <c r="AB9" s="50" t="s">
        <v>32</v>
      </c>
      <c r="AC9" s="47" t="s">
        <v>32</v>
      </c>
      <c r="AD9" s="47" t="s">
        <v>32</v>
      </c>
      <c r="AE9" s="47" t="s">
        <v>33</v>
      </c>
    </row>
    <row r="10" spans="1:31" s="8" customFormat="1" ht="21.75" customHeight="1" x14ac:dyDescent="0.35">
      <c r="A10" s="12" t="s">
        <v>149</v>
      </c>
      <c r="B10" s="13" t="s">
        <v>158</v>
      </c>
      <c r="C10" s="14" t="s">
        <v>106</v>
      </c>
      <c r="D10" s="14" t="s">
        <v>106</v>
      </c>
      <c r="E10" s="14" t="s">
        <v>106</v>
      </c>
      <c r="F10" s="14" t="s">
        <v>106</v>
      </c>
      <c r="G10" s="44" t="s">
        <v>106</v>
      </c>
      <c r="H10" s="40">
        <v>1.536798939695827E-2</v>
      </c>
      <c r="I10" s="43">
        <v>3.0768958802769329E-2</v>
      </c>
      <c r="J10" s="40">
        <v>0.14019798316217971</v>
      </c>
      <c r="K10" s="44">
        <v>0.49946407011910621</v>
      </c>
      <c r="L10" s="14">
        <v>1.8336820467389048E-2</v>
      </c>
      <c r="M10" s="14">
        <v>2.5183715177264736E-2</v>
      </c>
      <c r="N10" s="14">
        <v>9.8280719497218838E-2</v>
      </c>
      <c r="O10" s="44">
        <v>0.72812213520994296</v>
      </c>
      <c r="P10" s="14">
        <v>4.3834682221870702E-2</v>
      </c>
      <c r="Q10" s="14">
        <v>1.6059828244665071E-2</v>
      </c>
      <c r="R10" s="14">
        <v>2.2226709067353214E-2</v>
      </c>
      <c r="S10" s="44">
        <v>2.7294614583709627</v>
      </c>
      <c r="T10" s="14">
        <v>4.1410739565852284E-2</v>
      </c>
      <c r="U10" s="14">
        <v>2.1912637169661089E-2</v>
      </c>
      <c r="V10" s="14">
        <v>2.2226709067353214E-2</v>
      </c>
      <c r="W10" s="44">
        <v>1.8898108541306515</v>
      </c>
      <c r="X10" s="31" t="s">
        <v>106</v>
      </c>
      <c r="Y10" s="28">
        <v>6</v>
      </c>
      <c r="Z10" s="48" t="s">
        <v>32</v>
      </c>
      <c r="AA10" s="50" t="s">
        <v>32</v>
      </c>
      <c r="AB10" s="50" t="s">
        <v>32</v>
      </c>
      <c r="AC10" s="47" t="s">
        <v>32</v>
      </c>
      <c r="AD10" s="47" t="s">
        <v>32</v>
      </c>
      <c r="AE10" s="47" t="s">
        <v>31</v>
      </c>
    </row>
    <row r="11" spans="1:31" s="8" customFormat="1" ht="21.75" customHeight="1" x14ac:dyDescent="0.35">
      <c r="A11" s="12" t="s">
        <v>57</v>
      </c>
      <c r="B11" s="13" t="s">
        <v>159</v>
      </c>
      <c r="C11" s="14" t="s">
        <v>106</v>
      </c>
      <c r="D11" s="14" t="s">
        <v>106</v>
      </c>
      <c r="E11" s="14" t="s">
        <v>106</v>
      </c>
      <c r="F11" s="14" t="s">
        <v>106</v>
      </c>
      <c r="G11" s="44" t="s">
        <v>106</v>
      </c>
      <c r="H11" s="40">
        <v>3.3225638619814646E-2</v>
      </c>
      <c r="I11" s="43">
        <v>5.1162437559000594E-2</v>
      </c>
      <c r="J11" s="40">
        <v>0.17096306036867159</v>
      </c>
      <c r="K11" s="44">
        <v>0.64941469181367273</v>
      </c>
      <c r="L11" s="14">
        <v>2.4449484963341872E-2</v>
      </c>
      <c r="M11" s="14">
        <v>4.9221437851893812E-2</v>
      </c>
      <c r="N11" s="14">
        <v>0.1391596539141885</v>
      </c>
      <c r="O11" s="44">
        <v>0.49672431424920616</v>
      </c>
      <c r="P11" s="14">
        <v>5.7733930541960188E-2</v>
      </c>
      <c r="Q11" s="14">
        <v>4.3126823220234575E-2</v>
      </c>
      <c r="R11" s="14">
        <v>4.6196379799711466E-2</v>
      </c>
      <c r="S11" s="44">
        <v>1.3387012126335365</v>
      </c>
      <c r="T11" s="14">
        <v>4.2676543288028279E-2</v>
      </c>
      <c r="U11" s="14">
        <v>5.2264748774792848E-2</v>
      </c>
      <c r="V11" s="14">
        <v>4.6196379799711466E-2</v>
      </c>
      <c r="W11" s="44">
        <v>0.8165454591950716</v>
      </c>
      <c r="X11" s="31" t="s">
        <v>106</v>
      </c>
      <c r="Y11" s="28" t="s">
        <v>106</v>
      </c>
      <c r="Z11" s="48" t="s">
        <v>106</v>
      </c>
      <c r="AA11" s="50" t="s">
        <v>106</v>
      </c>
      <c r="AB11" s="50" t="s">
        <v>106</v>
      </c>
      <c r="AC11" s="47" t="s">
        <v>106</v>
      </c>
      <c r="AD11" s="47" t="s">
        <v>106</v>
      </c>
      <c r="AE11" s="47" t="s">
        <v>106</v>
      </c>
    </row>
    <row r="12" spans="1:31" s="8" customFormat="1" ht="21.75" customHeight="1" x14ac:dyDescent="0.35">
      <c r="A12" s="12" t="s">
        <v>50</v>
      </c>
      <c r="B12" s="13" t="s">
        <v>160</v>
      </c>
      <c r="C12" s="14">
        <v>3.0948887236411426E-2</v>
      </c>
      <c r="D12" s="14">
        <v>0.7573012232415901</v>
      </c>
      <c r="E12" s="14">
        <v>4.0019468587362043E-2</v>
      </c>
      <c r="F12" s="14">
        <v>0.12503815653471206</v>
      </c>
      <c r="G12" s="44">
        <v>0.77334578216225836</v>
      </c>
      <c r="H12" s="40">
        <v>3.0335936977132105E-2</v>
      </c>
      <c r="I12" s="43">
        <v>3.8592838645127248E-2</v>
      </c>
      <c r="J12" s="40">
        <v>0.12503815653471206</v>
      </c>
      <c r="K12" s="44">
        <v>0.78605093696476092</v>
      </c>
      <c r="L12" s="14">
        <v>2.8276948962493886E-2</v>
      </c>
      <c r="M12" s="14">
        <v>3.5542483887926177E-2</v>
      </c>
      <c r="N12" s="14">
        <v>8.4993876862535664E-2</v>
      </c>
      <c r="O12" s="44">
        <v>0.79558167773692368</v>
      </c>
      <c r="P12" s="14">
        <v>5.3800072198486593E-2</v>
      </c>
      <c r="Q12" s="14">
        <v>3.279337757220805E-2</v>
      </c>
      <c r="R12" s="14">
        <v>4.2847853338953953E-2</v>
      </c>
      <c r="S12" s="44">
        <v>1.6405773415691538</v>
      </c>
      <c r="T12" s="14">
        <v>6.2693396363028286E-2</v>
      </c>
      <c r="U12" s="14">
        <v>3.601464698997834E-2</v>
      </c>
      <c r="V12" s="14">
        <v>3.5669001605339465E-2</v>
      </c>
      <c r="W12" s="44">
        <v>1.7407749791487264</v>
      </c>
      <c r="X12" s="31">
        <v>45838</v>
      </c>
      <c r="Y12" s="28">
        <v>8</v>
      </c>
      <c r="Z12" s="48" t="s">
        <v>32</v>
      </c>
      <c r="AA12" s="50" t="s">
        <v>32</v>
      </c>
      <c r="AB12" s="50" t="s">
        <v>32</v>
      </c>
      <c r="AC12" s="47" t="s">
        <v>32</v>
      </c>
      <c r="AD12" s="47" t="s">
        <v>32</v>
      </c>
      <c r="AE12" s="47" t="s">
        <v>31</v>
      </c>
    </row>
    <row r="13" spans="1:31" s="8" customFormat="1" ht="21.75" customHeight="1" x14ac:dyDescent="0.35">
      <c r="A13" s="12" t="s">
        <v>150</v>
      </c>
      <c r="B13" s="13" t="s">
        <v>161</v>
      </c>
      <c r="C13" s="14" t="s">
        <v>106</v>
      </c>
      <c r="D13" s="14" t="s">
        <v>106</v>
      </c>
      <c r="E13" s="14" t="s">
        <v>106</v>
      </c>
      <c r="F13" s="14" t="s">
        <v>106</v>
      </c>
      <c r="G13" s="44" t="s">
        <v>106</v>
      </c>
      <c r="H13" s="40" t="s">
        <v>106</v>
      </c>
      <c r="I13" s="59" t="s">
        <v>106</v>
      </c>
      <c r="J13" s="40" t="s">
        <v>106</v>
      </c>
      <c r="K13" s="44" t="s">
        <v>106</v>
      </c>
      <c r="L13" s="14">
        <v>5.0748164295779663E-2</v>
      </c>
      <c r="M13" s="14">
        <v>4.2030385739171013E-2</v>
      </c>
      <c r="N13" s="14">
        <v>5.8386497617701719E-2</v>
      </c>
      <c r="O13" s="44">
        <v>1.2074160967902789</v>
      </c>
      <c r="P13" s="14">
        <v>5.6325388233100071E-2</v>
      </c>
      <c r="Q13" s="14">
        <v>4.3322099981825367E-2</v>
      </c>
      <c r="R13" s="14">
        <v>5.8386497617701719E-2</v>
      </c>
      <c r="S13" s="44">
        <v>1.3001536919200567</v>
      </c>
      <c r="T13" s="14">
        <v>2.4444414913353807E-2</v>
      </c>
      <c r="U13" s="14">
        <v>4.9475891638641759E-2</v>
      </c>
      <c r="V13" s="14">
        <v>5.3767630328060506E-2</v>
      </c>
      <c r="W13" s="44">
        <v>0.49406719320773557</v>
      </c>
      <c r="X13" s="31" t="s">
        <v>106</v>
      </c>
      <c r="Y13" s="28">
        <v>8</v>
      </c>
      <c r="Z13" s="33" t="s">
        <v>108</v>
      </c>
      <c r="AA13" s="47" t="s">
        <v>108</v>
      </c>
      <c r="AB13" s="47" t="s">
        <v>108</v>
      </c>
      <c r="AC13" s="47" t="s">
        <v>108</v>
      </c>
      <c r="AD13" s="47" t="s">
        <v>108</v>
      </c>
      <c r="AE13" s="47" t="s">
        <v>54</v>
      </c>
    </row>
    <row r="14" spans="1:31" s="8" customFormat="1" ht="21.75" customHeight="1" x14ac:dyDescent="0.35">
      <c r="A14" s="12"/>
      <c r="B14" s="13"/>
      <c r="C14" s="14"/>
      <c r="D14" s="14"/>
      <c r="E14" s="14"/>
      <c r="F14" s="14"/>
      <c r="G14" s="44"/>
      <c r="H14" s="40"/>
      <c r="I14" s="59"/>
      <c r="J14" s="40"/>
      <c r="K14" s="44"/>
      <c r="L14" s="14"/>
      <c r="M14" s="14"/>
      <c r="N14" s="14"/>
      <c r="O14" s="44"/>
      <c r="P14" s="14"/>
      <c r="Q14" s="14"/>
      <c r="R14" s="14"/>
      <c r="S14" s="44"/>
      <c r="T14" s="14"/>
      <c r="U14" s="14"/>
      <c r="V14" s="14"/>
      <c r="W14" s="44"/>
      <c r="X14" s="31"/>
      <c r="Y14" s="33"/>
      <c r="Z14" s="33"/>
      <c r="AA14" s="33"/>
      <c r="AB14" s="33"/>
      <c r="AC14" s="33"/>
      <c r="AD14" s="47"/>
      <c r="AE14" s="47"/>
    </row>
    <row r="15" spans="1:31" s="8" customFormat="1" ht="21.75" customHeight="1" x14ac:dyDescent="0.35">
      <c r="A15" s="36" t="s">
        <v>2</v>
      </c>
      <c r="B15" s="36" t="s">
        <v>3</v>
      </c>
      <c r="C15" s="37">
        <f>AVERAGE(Table915[Performance annualisée depuis 01/08])</f>
        <v>3.4043403953544882E-2</v>
      </c>
      <c r="D15" s="37">
        <f>AVERAGE(Table915[Perf. Totale depuis 01/08])</f>
        <v>0.88465661986471755</v>
      </c>
      <c r="E15" s="37">
        <f>AVERAGE(Table915[Volatilité annualisée depuis 01/08])</f>
        <v>5.157459272370056E-2</v>
      </c>
      <c r="F15" s="37">
        <f>AVERAGE(Table915[Max Drawdown depuis 01/08])</f>
        <v>0.16009452557703699</v>
      </c>
      <c r="G15" s="42">
        <f>AVERAGE(Table915[Couple Rendement / Risque depuis 01/08])</f>
        <v>0.67579940668248406</v>
      </c>
      <c r="H15" s="37">
        <f>AVERAGE(Table915[Performance annualisée 10 ans])</f>
        <v>2.7887704466830532E-2</v>
      </c>
      <c r="I15" s="37">
        <f>AVERAGE(Table915[Volatilité annualisée 10 ans])</f>
        <v>4.5949990750053807E-2</v>
      </c>
      <c r="J15" s="37">
        <f>AVERAGE(Table915[Max Drawdown 10 ans])</f>
        <v>0.15369920188928607</v>
      </c>
      <c r="K15" s="42">
        <f>AVERAGE(Table915[Couple Rendement Risque 10 ans])</f>
        <v>0.6020120797190589</v>
      </c>
      <c r="L15" s="37">
        <f>AVERAGE(Table915[Performance annualisée 5 ans])</f>
        <v>2.7096017010964025E-2</v>
      </c>
      <c r="M15" s="37">
        <f>AVERAGE(Table915[Volatilité annualisée 5 ans])</f>
        <v>4.1277503132271874E-2</v>
      </c>
      <c r="N15" s="37">
        <f>AVERAGE(Table915[Max Drawdown 5 ans])</f>
        <v>0.11630935599117273</v>
      </c>
      <c r="O15" s="42">
        <f>AVERAGE(Table915[Couple Rendement Risque 5 ans])</f>
        <v>0.68393628632644821</v>
      </c>
      <c r="P15" s="37">
        <f>AVERAGE(Table915[Performance annualisée 3 ans])</f>
        <v>5.9876477892760627E-2</v>
      </c>
      <c r="Q15" s="37">
        <f>AVERAGE(Table915[Volatilité annualisée 3 ans])</f>
        <v>3.8244490185902688E-2</v>
      </c>
      <c r="R15" s="37">
        <f>AVERAGE(Table915[Max Drawdown 3 ans])</f>
        <v>4.4409591749229746E-2</v>
      </c>
      <c r="S15" s="42">
        <f>AVERAGE(Table915[Couple Rendement Risque 3 ans])</f>
        <v>1.7053044398372872</v>
      </c>
      <c r="T15" s="37">
        <f>AVERAGE(Table915[Performance annualisée 1 an])</f>
        <v>5.9459995885557636E-2</v>
      </c>
      <c r="U15" s="37">
        <f>AVERAGE(Table915[Volatilité annualisée 1 an])</f>
        <v>4.1962581529091554E-2</v>
      </c>
      <c r="V15" s="37">
        <f>AVERAGE(Table915[Max Drawdown 1 an])</f>
        <v>3.8879664222380553E-2</v>
      </c>
      <c r="W15" s="42">
        <f>AVERAGE(Table915[Couple Rendement Risque 1 an])</f>
        <v>1.5028642610700758</v>
      </c>
      <c r="X15" s="38"/>
      <c r="Y15" s="37"/>
      <c r="Z15" s="37"/>
      <c r="AA15" s="37"/>
      <c r="AB15" s="37"/>
      <c r="AC15" s="37"/>
      <c r="AD15" s="37"/>
      <c r="AE15" s="37"/>
    </row>
    <row r="16" spans="1:31" s="8" customFormat="1" ht="21.75" customHeight="1" x14ac:dyDescent="0.35">
      <c r="A16" s="7"/>
      <c r="B16" s="2"/>
      <c r="C16" s="2"/>
      <c r="D16" s="2"/>
      <c r="E16" s="5"/>
      <c r="F16" s="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1"/>
      <c r="AE16" s="1"/>
    </row>
    <row r="17" spans="1:31" s="8" customFormat="1" ht="21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s="8" customFormat="1" ht="21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s="1" customFormat="1" ht="21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21.75" customHeight="1" x14ac:dyDescent="0.35">
      <c r="E20" s="2"/>
      <c r="F20" s="2"/>
      <c r="AB20" s="6"/>
    </row>
    <row r="21" spans="1:31" ht="21.75" customHeight="1" x14ac:dyDescent="0.35">
      <c r="E21" s="2"/>
      <c r="F21" s="2"/>
    </row>
    <row r="22" spans="1:31" ht="21.75" customHeight="1" x14ac:dyDescent="0.35">
      <c r="E22" s="2"/>
      <c r="F22" s="2"/>
    </row>
    <row r="23" spans="1:31" x14ac:dyDescent="0.35">
      <c r="E23" s="2"/>
      <c r="F23" s="2"/>
    </row>
    <row r="24" spans="1:31" x14ac:dyDescent="0.35">
      <c r="E24" s="2"/>
      <c r="F24" s="2"/>
    </row>
    <row r="25" spans="1:31" x14ac:dyDescent="0.35">
      <c r="E25" s="2"/>
      <c r="F25" s="2"/>
    </row>
    <row r="26" spans="1:31" x14ac:dyDescent="0.35">
      <c r="E26" s="2"/>
      <c r="F26" s="2"/>
    </row>
    <row r="27" spans="1:31" x14ac:dyDescent="0.35">
      <c r="E27" s="2"/>
      <c r="F27" s="2"/>
    </row>
    <row r="28" spans="1:31" x14ac:dyDescent="0.35">
      <c r="E28" s="2"/>
      <c r="F28" s="2"/>
    </row>
    <row r="29" spans="1:31" x14ac:dyDescent="0.35">
      <c r="E29" s="2"/>
      <c r="F29" s="2"/>
    </row>
    <row r="30" spans="1:31" x14ac:dyDescent="0.35">
      <c r="E30" s="2"/>
      <c r="F30" s="2"/>
    </row>
    <row r="31" spans="1:31" x14ac:dyDescent="0.35">
      <c r="E31" s="2"/>
      <c r="F31" s="2"/>
    </row>
    <row r="32" spans="1:31" x14ac:dyDescent="0.35">
      <c r="E32" s="2"/>
      <c r="F32" s="2"/>
    </row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</sheetData>
  <sheetProtection selectLockedCells="1"/>
  <phoneticPr fontId="22" type="noConversion"/>
  <conditionalFormatting sqref="C4:C14">
    <cfRule type="iconSet" priority="357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14">
    <cfRule type="iconSet" priority="357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14">
    <cfRule type="iconSet" priority="357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14">
    <cfRule type="iconSet" priority="358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14">
    <cfRule type="iconSet" priority="358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3:X23">
    <cfRule type="iconSet" priority="6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14">
    <cfRule type="iconSet" priority="358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4">
    <cfRule type="iconSet" priority="358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13:I14">
    <cfRule type="iconSet" priority="1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14">
    <cfRule type="iconSet" priority="358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4">
    <cfRule type="iconSet" priority="3590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13:K14">
    <cfRule type="iconSet" priority="1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14">
    <cfRule type="iconSet" priority="359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14">
    <cfRule type="iconSet" priority="359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14">
    <cfRule type="iconSet" priority="359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4">
    <cfRule type="iconSet" priority="359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13:O14">
    <cfRule type="iconSet" priority="1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14">
    <cfRule type="iconSet" priority="359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14">
    <cfRule type="iconSet" priority="360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14">
    <cfRule type="iconSet" priority="360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4">
    <cfRule type="iconSet" priority="360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13:S14">
    <cfRule type="iconSet" priority="2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14">
    <cfRule type="iconSet" priority="360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14">
    <cfRule type="iconSet" priority="360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14">
    <cfRule type="iconSet" priority="360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4">
    <cfRule type="iconSet" priority="361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13:W14">
    <cfRule type="iconSet" priority="2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tabColor rgb="FF008000"/>
    <pageSetUpPr fitToPage="1"/>
  </sheetPr>
  <dimension ref="A1:AE45"/>
  <sheetViews>
    <sheetView showGridLines="0" zoomScale="70" zoomScaleNormal="70" workbookViewId="0">
      <pane xSplit="1" topLeftCell="B1" activePane="topRight" state="frozenSplit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3" width="13.08203125" style="2" customWidth="1"/>
    <col min="4" max="4" width="13.08203125" style="5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61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147</v>
      </c>
      <c r="C2" s="20">
        <v>46203</v>
      </c>
      <c r="D2" s="60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8" customFormat="1" ht="21.75" customHeight="1" x14ac:dyDescent="0.35">
      <c r="A4" s="12" t="s">
        <v>47</v>
      </c>
      <c r="B4" s="13" t="s">
        <v>70</v>
      </c>
      <c r="C4" s="51">
        <v>4.7409631484138792E-2</v>
      </c>
      <c r="D4" s="21">
        <v>1.3555615550755937</v>
      </c>
      <c r="E4" s="51">
        <v>8.593988492139186E-2</v>
      </c>
      <c r="F4" s="51">
        <v>0.24464831804281348</v>
      </c>
      <c r="G4" s="55">
        <v>0.55166040223935364</v>
      </c>
      <c r="H4" s="51">
        <v>4.3828068384071717E-2</v>
      </c>
      <c r="I4" s="52">
        <v>7.7585642007401756E-2</v>
      </c>
      <c r="J4" s="51">
        <v>0.18613448950097761</v>
      </c>
      <c r="K4" s="55">
        <v>0.56489921653146169</v>
      </c>
      <c r="L4" s="51">
        <v>3.3990013145543063E-2</v>
      </c>
      <c r="M4" s="51">
        <v>8.2645348618558392E-2</v>
      </c>
      <c r="N4" s="51">
        <v>0.18613448950097761</v>
      </c>
      <c r="O4" s="55">
        <v>0.41127557344359061</v>
      </c>
      <c r="P4" s="51">
        <v>8.0424117573669074E-2</v>
      </c>
      <c r="Q4" s="51">
        <v>8.5174167572221696E-2</v>
      </c>
      <c r="R4" s="51">
        <v>0.11191379943675764</v>
      </c>
      <c r="S4" s="55">
        <v>0.9442313305319372</v>
      </c>
      <c r="T4" s="51">
        <v>0.12020856685656756</v>
      </c>
      <c r="U4" s="51">
        <v>8.1682252374541992E-2</v>
      </c>
      <c r="V4" s="51">
        <v>6.8163531169776692E-2</v>
      </c>
      <c r="W4" s="55">
        <v>1.4716607752852946</v>
      </c>
      <c r="X4" s="31">
        <v>41640</v>
      </c>
      <c r="Y4" s="33">
        <v>6</v>
      </c>
      <c r="Z4" s="48" t="s">
        <v>108</v>
      </c>
      <c r="AA4" s="50" t="s">
        <v>106</v>
      </c>
      <c r="AB4" s="50" t="s">
        <v>108</v>
      </c>
      <c r="AC4" s="47" t="s">
        <v>108</v>
      </c>
      <c r="AD4" s="47" t="s">
        <v>106</v>
      </c>
      <c r="AE4" s="47" t="s">
        <v>33</v>
      </c>
    </row>
    <row r="5" spans="1:31" s="8" customFormat="1" ht="21.75" customHeight="1" x14ac:dyDescent="0.35">
      <c r="A5" s="12" t="s">
        <v>68</v>
      </c>
      <c r="B5" s="13" t="s">
        <v>71</v>
      </c>
      <c r="C5" s="51">
        <v>4.328155827221547E-2</v>
      </c>
      <c r="D5" s="21">
        <v>1.1896345514950166</v>
      </c>
      <c r="E5" s="51">
        <v>0.10783711113574278</v>
      </c>
      <c r="F5" s="51">
        <v>0.33807308970099664</v>
      </c>
      <c r="G5" s="55">
        <v>0.40136051324421773</v>
      </c>
      <c r="H5" s="51">
        <v>6.2136601438281369E-2</v>
      </c>
      <c r="I5" s="52">
        <v>7.7850760382355277E-2</v>
      </c>
      <c r="J5" s="51">
        <v>0.19448754593711717</v>
      </c>
      <c r="K5" s="55">
        <v>0.79815021886882564</v>
      </c>
      <c r="L5" s="51">
        <v>4.7690493850572002E-2</v>
      </c>
      <c r="M5" s="51">
        <v>7.7447731320016158E-2</v>
      </c>
      <c r="N5" s="51">
        <v>0.18426755273042467</v>
      </c>
      <c r="O5" s="55">
        <v>0.61577651194860139</v>
      </c>
      <c r="P5" s="51">
        <v>9.6662296484364196E-2</v>
      </c>
      <c r="Q5" s="51">
        <v>7.026832050466017E-2</v>
      </c>
      <c r="R5" s="51">
        <v>9.2888439501179657E-2</v>
      </c>
      <c r="S5" s="55">
        <v>1.3756170033685888</v>
      </c>
      <c r="T5" s="51">
        <v>0.12047618077088851</v>
      </c>
      <c r="U5" s="51">
        <v>7.5153431794266576E-2</v>
      </c>
      <c r="V5" s="51">
        <v>6.628278149840397E-2</v>
      </c>
      <c r="W5" s="55">
        <v>1.6030695857069241</v>
      </c>
      <c r="X5" s="31">
        <v>44562</v>
      </c>
      <c r="Y5" s="33">
        <v>8</v>
      </c>
      <c r="Z5" s="33" t="s">
        <v>108</v>
      </c>
      <c r="AA5" s="47" t="s">
        <v>108</v>
      </c>
      <c r="AB5" s="47" t="s">
        <v>108</v>
      </c>
      <c r="AC5" s="47" t="s">
        <v>107</v>
      </c>
      <c r="AD5" s="47" t="s">
        <v>108</v>
      </c>
      <c r="AE5" s="47" t="s">
        <v>31</v>
      </c>
    </row>
    <row r="6" spans="1:31" s="8" customFormat="1" ht="21.75" customHeight="1" x14ac:dyDescent="0.35">
      <c r="A6" s="12" t="s">
        <v>241</v>
      </c>
      <c r="B6" s="13" t="s">
        <v>252</v>
      </c>
      <c r="C6" s="51">
        <v>4.0794183757727032E-2</v>
      </c>
      <c r="D6" s="21">
        <v>1.0950595023440317</v>
      </c>
      <c r="E6" s="51">
        <v>9.3417847318610331E-2</v>
      </c>
      <c r="F6" s="51">
        <v>0.25200144248106754</v>
      </c>
      <c r="G6" s="55">
        <v>0.43668511883596117</v>
      </c>
      <c r="H6" s="51">
        <v>4.7226899273425049E-2</v>
      </c>
      <c r="I6" s="52">
        <v>8.0504499038560121E-2</v>
      </c>
      <c r="J6" s="51">
        <v>0.21482422702244811</v>
      </c>
      <c r="K6" s="55">
        <v>0.58663676983822066</v>
      </c>
      <c r="L6" s="51">
        <v>2.9897803261768274E-2</v>
      </c>
      <c r="M6" s="51">
        <v>7.8234851845257553E-2</v>
      </c>
      <c r="N6" s="51">
        <v>0.1813820673900628</v>
      </c>
      <c r="O6" s="55">
        <v>0.38215453287882239</v>
      </c>
      <c r="P6" s="51">
        <v>6.6499735666134541E-2</v>
      </c>
      <c r="Q6" s="51">
        <v>6.8517107173694802E-2</v>
      </c>
      <c r="R6" s="51">
        <v>9.367060230159914E-2</v>
      </c>
      <c r="S6" s="55">
        <v>0.97055667422668457</v>
      </c>
      <c r="T6" s="51">
        <v>0.10780748482268843</v>
      </c>
      <c r="U6" s="51">
        <v>6.74945700279454E-2</v>
      </c>
      <c r="V6" s="51">
        <v>7.555944055944061E-2</v>
      </c>
      <c r="W6" s="55">
        <v>1.5972764146516067</v>
      </c>
      <c r="X6" s="31">
        <v>41640</v>
      </c>
      <c r="Y6" s="33">
        <v>8</v>
      </c>
      <c r="Z6" s="33" t="s">
        <v>107</v>
      </c>
      <c r="AA6" s="47" t="s">
        <v>108</v>
      </c>
      <c r="AB6" s="47" t="s">
        <v>108</v>
      </c>
      <c r="AC6" s="47" t="s">
        <v>107</v>
      </c>
      <c r="AD6" s="47" t="s">
        <v>108</v>
      </c>
      <c r="AE6" s="47" t="s">
        <v>31</v>
      </c>
    </row>
    <row r="7" spans="1:31" s="8" customFormat="1" ht="21.75" customHeight="1" x14ac:dyDescent="0.35">
      <c r="A7" s="12" t="s">
        <v>27</v>
      </c>
      <c r="B7" s="13" t="s">
        <v>220</v>
      </c>
      <c r="C7" s="51">
        <v>3.8304092534700018E-2</v>
      </c>
      <c r="D7" s="21">
        <v>1.0042605880226718</v>
      </c>
      <c r="E7" s="51">
        <v>0.10324379727586927</v>
      </c>
      <c r="F7" s="51">
        <v>0.30030224026947833</v>
      </c>
      <c r="G7" s="55">
        <v>0.37100623519639442</v>
      </c>
      <c r="H7" s="51">
        <v>4.7981547695079785E-2</v>
      </c>
      <c r="I7" s="52">
        <v>8.8263047611851331E-2</v>
      </c>
      <c r="J7" s="51">
        <v>0.21792709951858177</v>
      </c>
      <c r="K7" s="55">
        <v>0.54361988389620441</v>
      </c>
      <c r="L7" s="51">
        <v>4.7468828966746424E-2</v>
      </c>
      <c r="M7" s="51">
        <v>8.9857216300002207E-2</v>
      </c>
      <c r="N7" s="51">
        <v>0.2098779052662548</v>
      </c>
      <c r="O7" s="55">
        <v>0.52826952493458512</v>
      </c>
      <c r="P7" s="51">
        <v>9.0396361548130022E-2</v>
      </c>
      <c r="Q7" s="51">
        <v>8.035240502595084E-2</v>
      </c>
      <c r="R7" s="51">
        <v>7.6493446506286505E-2</v>
      </c>
      <c r="S7" s="55">
        <v>1.1249988288332546</v>
      </c>
      <c r="T7" s="51">
        <v>0.10452708908380171</v>
      </c>
      <c r="U7" s="51">
        <v>8.7933283757205508E-2</v>
      </c>
      <c r="V7" s="51">
        <v>7.0266465242460496E-2</v>
      </c>
      <c r="W7" s="55">
        <v>1.1887090373244074</v>
      </c>
      <c r="X7" s="31">
        <v>41640</v>
      </c>
      <c r="Y7" s="33">
        <v>8</v>
      </c>
      <c r="Z7" s="48" t="s">
        <v>107</v>
      </c>
      <c r="AA7" s="50" t="s">
        <v>107</v>
      </c>
      <c r="AB7" s="50" t="s">
        <v>108</v>
      </c>
      <c r="AC7" s="47" t="s">
        <v>107</v>
      </c>
      <c r="AD7" s="47" t="s">
        <v>108</v>
      </c>
      <c r="AE7" s="47" t="s">
        <v>31</v>
      </c>
    </row>
    <row r="8" spans="1:31" s="8" customFormat="1" ht="21.75" customHeight="1" x14ac:dyDescent="0.35">
      <c r="A8" s="12" t="s">
        <v>131</v>
      </c>
      <c r="B8" s="13" t="s">
        <v>140</v>
      </c>
      <c r="C8" s="53">
        <v>2.4773699922720382E-2</v>
      </c>
      <c r="D8" s="14">
        <v>0.57247854618879357</v>
      </c>
      <c r="E8" s="53">
        <v>0.11062073300030231</v>
      </c>
      <c r="F8" s="53">
        <v>0.30439172135285203</v>
      </c>
      <c r="G8" s="56">
        <v>0.22395168835712451</v>
      </c>
      <c r="H8" s="54">
        <v>4.8610893639578601E-2</v>
      </c>
      <c r="I8" s="52">
        <v>8.9237585270535477E-2</v>
      </c>
      <c r="J8" s="54">
        <v>0.22408276073402714</v>
      </c>
      <c r="K8" s="56">
        <v>0.54473564577311551</v>
      </c>
      <c r="L8" s="53">
        <v>5.9545336348001854E-2</v>
      </c>
      <c r="M8" s="53">
        <v>8.4361584358660216E-2</v>
      </c>
      <c r="N8" s="53">
        <v>0.17117265407459234</v>
      </c>
      <c r="O8" s="56">
        <v>0.7058347327244</v>
      </c>
      <c r="P8" s="53">
        <v>0.10419213383103609</v>
      </c>
      <c r="Q8" s="53">
        <v>7.9307032907352845E-2</v>
      </c>
      <c r="R8" s="53">
        <v>7.7804363739661542E-2</v>
      </c>
      <c r="S8" s="56">
        <v>1.3137817670313583</v>
      </c>
      <c r="T8" s="53">
        <v>9.890334612768803E-2</v>
      </c>
      <c r="U8" s="53">
        <v>8.9179830567942653E-2</v>
      </c>
      <c r="V8" s="53">
        <v>7.7804363739661542E-2</v>
      </c>
      <c r="W8" s="56">
        <v>1.1090326758620315</v>
      </c>
      <c r="X8" s="31">
        <v>45657</v>
      </c>
      <c r="Y8" s="33">
        <v>8</v>
      </c>
      <c r="Z8" s="48" t="s">
        <v>108</v>
      </c>
      <c r="AA8" s="50" t="s">
        <v>108</v>
      </c>
      <c r="AB8" s="50" t="s">
        <v>108</v>
      </c>
      <c r="AC8" s="47" t="s">
        <v>108</v>
      </c>
      <c r="AD8" s="47" t="s">
        <v>108</v>
      </c>
      <c r="AE8" s="47" t="s">
        <v>31</v>
      </c>
    </row>
    <row r="9" spans="1:31" s="8" customFormat="1" ht="21.75" customHeight="1" x14ac:dyDescent="0.35">
      <c r="A9" s="12" t="s">
        <v>149</v>
      </c>
      <c r="B9" s="13" t="s">
        <v>162</v>
      </c>
      <c r="C9" s="53" t="s">
        <v>106</v>
      </c>
      <c r="D9" s="14" t="s">
        <v>106</v>
      </c>
      <c r="E9" s="53" t="s">
        <v>106</v>
      </c>
      <c r="F9" s="53" t="s">
        <v>106</v>
      </c>
      <c r="G9" s="56" t="s">
        <v>106</v>
      </c>
      <c r="H9" s="54">
        <v>4.998874329301195E-2</v>
      </c>
      <c r="I9" s="52">
        <v>7.2344323517389494E-2</v>
      </c>
      <c r="J9" s="54">
        <v>0.21947271370859897</v>
      </c>
      <c r="K9" s="56">
        <v>0.69098363026362519</v>
      </c>
      <c r="L9" s="53">
        <v>3.3543947480553893E-2</v>
      </c>
      <c r="M9" s="53">
        <v>6.8252497342156271E-2</v>
      </c>
      <c r="N9" s="53">
        <v>0.17432469714830329</v>
      </c>
      <c r="O9" s="56">
        <v>0.49146842660415618</v>
      </c>
      <c r="P9" s="53">
        <v>6.8251615699342016E-2</v>
      </c>
      <c r="Q9" s="53">
        <v>5.5867472152012439E-2</v>
      </c>
      <c r="R9" s="53">
        <v>6.2481156763666688E-2</v>
      </c>
      <c r="S9" s="56">
        <v>1.2216700178170399</v>
      </c>
      <c r="T9" s="53">
        <v>8.783819406748794E-2</v>
      </c>
      <c r="U9" s="53">
        <v>6.9428025251513342E-2</v>
      </c>
      <c r="V9" s="53">
        <v>6.0033148539749649E-2</v>
      </c>
      <c r="W9" s="56">
        <v>1.2651691265779348</v>
      </c>
      <c r="X9" s="31" t="s">
        <v>106</v>
      </c>
      <c r="Y9" s="33">
        <v>6</v>
      </c>
      <c r="Z9" s="48" t="s">
        <v>32</v>
      </c>
      <c r="AA9" s="50" t="s">
        <v>32</v>
      </c>
      <c r="AB9" s="50" t="s">
        <v>32</v>
      </c>
      <c r="AC9" s="47" t="s">
        <v>32</v>
      </c>
      <c r="AD9" s="47" t="s">
        <v>32</v>
      </c>
      <c r="AE9" s="47" t="s">
        <v>31</v>
      </c>
    </row>
    <row r="10" spans="1:31" s="8" customFormat="1" ht="21.75" customHeight="1" x14ac:dyDescent="0.35">
      <c r="A10" s="12" t="s">
        <v>48</v>
      </c>
      <c r="B10" s="13" t="s">
        <v>72</v>
      </c>
      <c r="C10" s="53" t="s">
        <v>106</v>
      </c>
      <c r="D10" s="14" t="s">
        <v>106</v>
      </c>
      <c r="E10" s="53" t="s">
        <v>106</v>
      </c>
      <c r="F10" s="53" t="s">
        <v>106</v>
      </c>
      <c r="G10" s="56" t="s">
        <v>106</v>
      </c>
      <c r="H10" s="54">
        <v>3.4013645553389704E-2</v>
      </c>
      <c r="I10" s="52">
        <v>6.5903587265819394E-2</v>
      </c>
      <c r="J10" s="54">
        <v>0.21608579088471849</v>
      </c>
      <c r="K10" s="56">
        <v>0.5161122021506519</v>
      </c>
      <c r="L10" s="53">
        <v>2.7153536457740879E-2</v>
      </c>
      <c r="M10" s="53">
        <v>5.3064781079369155E-2</v>
      </c>
      <c r="N10" s="53">
        <v>0.170866935483871</v>
      </c>
      <c r="O10" s="56">
        <v>0.51170542694084142</v>
      </c>
      <c r="P10" s="53">
        <v>7.451250123294817E-2</v>
      </c>
      <c r="Q10" s="53">
        <v>5.3048574675640621E-2</v>
      </c>
      <c r="R10" s="53">
        <v>8.289410637278391E-2</v>
      </c>
      <c r="S10" s="56">
        <v>1.4046089209473818</v>
      </c>
      <c r="T10" s="53">
        <v>4.8908677348663776E-2</v>
      </c>
      <c r="U10" s="53">
        <v>6.2347736610266949E-2</v>
      </c>
      <c r="V10" s="53">
        <v>7.0363322564942238E-2</v>
      </c>
      <c r="W10" s="56">
        <v>0.78444992565471683</v>
      </c>
      <c r="X10" s="31">
        <v>41820</v>
      </c>
      <c r="Y10" s="33">
        <v>8</v>
      </c>
      <c r="Z10" s="48" t="s">
        <v>106</v>
      </c>
      <c r="AA10" s="50" t="s">
        <v>108</v>
      </c>
      <c r="AB10" s="50" t="s">
        <v>108</v>
      </c>
      <c r="AC10" s="47" t="s">
        <v>108</v>
      </c>
      <c r="AD10" s="47" t="s">
        <v>106</v>
      </c>
      <c r="AE10" s="47" t="s">
        <v>33</v>
      </c>
    </row>
    <row r="11" spans="1:31" s="8" customFormat="1" ht="21.75" customHeight="1" x14ac:dyDescent="0.35">
      <c r="A11" s="12" t="s">
        <v>49</v>
      </c>
      <c r="B11" s="13" t="s">
        <v>73</v>
      </c>
      <c r="C11" s="53">
        <v>3.6642709502725745E-2</v>
      </c>
      <c r="D11" s="14">
        <v>0.94576402321083175</v>
      </c>
      <c r="E11" s="53">
        <v>8.3946163262338558E-2</v>
      </c>
      <c r="F11" s="53">
        <v>0.25125888277095398</v>
      </c>
      <c r="G11" s="56">
        <v>0.43650249253458206</v>
      </c>
      <c r="H11" s="54">
        <v>3.9777888165386965E-2</v>
      </c>
      <c r="I11" s="52">
        <v>8.9510418456606303E-2</v>
      </c>
      <c r="J11" s="54">
        <v>0.25125888277095398</v>
      </c>
      <c r="K11" s="56">
        <v>0.4443939471098648</v>
      </c>
      <c r="L11" s="53">
        <v>2.8131595514823138E-2</v>
      </c>
      <c r="M11" s="53">
        <v>8.033355377346435E-2</v>
      </c>
      <c r="N11" s="53">
        <v>0.21236208843714702</v>
      </c>
      <c r="O11" s="56">
        <v>0.35018487535298759</v>
      </c>
      <c r="P11" s="53">
        <v>8.7476950340628079E-2</v>
      </c>
      <c r="Q11" s="53">
        <v>7.4096036787822242E-2</v>
      </c>
      <c r="R11" s="53">
        <v>0.11562739912991561</v>
      </c>
      <c r="S11" s="56">
        <v>1.1805887889945148</v>
      </c>
      <c r="T11" s="53">
        <v>0.11976079372352677</v>
      </c>
      <c r="U11" s="53">
        <v>6.5259386957801285E-2</v>
      </c>
      <c r="V11" s="53">
        <v>5.2468370131481125E-2</v>
      </c>
      <c r="W11" s="56">
        <v>1.8351504558412073</v>
      </c>
      <c r="X11" s="31">
        <v>43465</v>
      </c>
      <c r="Y11" s="33">
        <v>8</v>
      </c>
      <c r="Z11" s="48" t="s">
        <v>108</v>
      </c>
      <c r="AA11" s="50" t="s">
        <v>106</v>
      </c>
      <c r="AB11" s="50" t="s">
        <v>108</v>
      </c>
      <c r="AC11" s="47" t="s">
        <v>108</v>
      </c>
      <c r="AD11" s="47" t="s">
        <v>106</v>
      </c>
      <c r="AE11" s="47" t="s">
        <v>29</v>
      </c>
    </row>
    <row r="12" spans="1:31" s="8" customFormat="1" ht="21.75" customHeight="1" x14ac:dyDescent="0.35">
      <c r="A12" s="12" t="s">
        <v>69</v>
      </c>
      <c r="B12" s="13" t="s">
        <v>116</v>
      </c>
      <c r="C12" s="53">
        <v>3.9762710814966074E-2</v>
      </c>
      <c r="D12" s="14">
        <v>1.0569855832241153</v>
      </c>
      <c r="E12" s="53">
        <v>0.10475430677046622</v>
      </c>
      <c r="F12" s="53">
        <v>0.34542595019659234</v>
      </c>
      <c r="G12" s="56">
        <v>0.3795806782635931</v>
      </c>
      <c r="H12" s="54">
        <v>4.7609582709887022E-2</v>
      </c>
      <c r="I12" s="52">
        <v>7.9344753844513144E-2</v>
      </c>
      <c r="J12" s="54">
        <v>0.22669881777688475</v>
      </c>
      <c r="K12" s="56">
        <v>0.60003441189299656</v>
      </c>
      <c r="L12" s="53">
        <v>4.8674553889722638E-2</v>
      </c>
      <c r="M12" s="53">
        <v>7.1763089800768079E-2</v>
      </c>
      <c r="N12" s="53">
        <v>0.15301724137931028</v>
      </c>
      <c r="O12" s="56">
        <v>0.6782672544459154</v>
      </c>
      <c r="P12" s="53">
        <v>0.10831217989744668</v>
      </c>
      <c r="Q12" s="53">
        <v>6.5132613993734323E-2</v>
      </c>
      <c r="R12" s="53">
        <v>8.0618346215546047E-2</v>
      </c>
      <c r="S12" s="56">
        <v>1.6629484563273658</v>
      </c>
      <c r="T12" s="53">
        <v>0.15359941197933091</v>
      </c>
      <c r="U12" s="53">
        <v>6.852075306966976E-2</v>
      </c>
      <c r="V12" s="53">
        <v>5.1566943994046002E-2</v>
      </c>
      <c r="W12" s="56">
        <v>2.2416480423552239</v>
      </c>
      <c r="X12" s="31">
        <v>41640</v>
      </c>
      <c r="Y12" s="33">
        <v>6</v>
      </c>
      <c r="Z12" s="48" t="s">
        <v>108</v>
      </c>
      <c r="AA12" s="50" t="s">
        <v>106</v>
      </c>
      <c r="AB12" s="50" t="s">
        <v>108</v>
      </c>
      <c r="AC12" s="47" t="s">
        <v>108</v>
      </c>
      <c r="AD12" s="47" t="s">
        <v>106</v>
      </c>
      <c r="AE12" s="47" t="s">
        <v>31</v>
      </c>
    </row>
    <row r="13" spans="1:31" s="8" customFormat="1" ht="21.75" customHeight="1" x14ac:dyDescent="0.35">
      <c r="A13" s="12" t="s">
        <v>50</v>
      </c>
      <c r="B13" s="13" t="s">
        <v>163</v>
      </c>
      <c r="C13" s="53">
        <v>4.7535216133155034E-2</v>
      </c>
      <c r="D13" s="14">
        <v>1.3607911671924291</v>
      </c>
      <c r="E13" s="53">
        <v>7.5645450331123229E-2</v>
      </c>
      <c r="F13" s="53">
        <v>0.25299684542586748</v>
      </c>
      <c r="G13" s="56">
        <v>0.62839491238506584</v>
      </c>
      <c r="H13" s="54">
        <v>5.0677198530530321E-2</v>
      </c>
      <c r="I13" s="52">
        <v>7.1058594931921057E-2</v>
      </c>
      <c r="J13" s="54">
        <v>0.20619639134698303</v>
      </c>
      <c r="K13" s="56">
        <v>0.71317479017256824</v>
      </c>
      <c r="L13" s="53">
        <v>4.2195417104961663E-2</v>
      </c>
      <c r="M13" s="53">
        <v>6.5737062873842081E-2</v>
      </c>
      <c r="N13" s="53">
        <v>0.14390917512158183</v>
      </c>
      <c r="O13" s="56">
        <v>0.64188169139744078</v>
      </c>
      <c r="P13" s="53">
        <v>8.0962854888342539E-2</v>
      </c>
      <c r="Q13" s="53">
        <v>5.9591248679088431E-2</v>
      </c>
      <c r="R13" s="53">
        <v>8.6197796359268192E-2</v>
      </c>
      <c r="S13" s="56">
        <v>1.3586366569417727</v>
      </c>
      <c r="T13" s="53">
        <v>0.10955470673476575</v>
      </c>
      <c r="U13" s="53">
        <v>6.2260298473445962E-2</v>
      </c>
      <c r="V13" s="53">
        <v>5.9687058557405283E-2</v>
      </c>
      <c r="W13" s="56">
        <v>1.7596238601633249</v>
      </c>
      <c r="X13" s="31">
        <v>42370</v>
      </c>
      <c r="Y13" s="33">
        <v>8</v>
      </c>
      <c r="Z13" s="48" t="s">
        <v>32</v>
      </c>
      <c r="AA13" s="50" t="s">
        <v>32</v>
      </c>
      <c r="AB13" s="50" t="s">
        <v>32</v>
      </c>
      <c r="AC13" s="47" t="s">
        <v>32</v>
      </c>
      <c r="AD13" s="47" t="s">
        <v>32</v>
      </c>
      <c r="AE13" s="47" t="s">
        <v>31</v>
      </c>
    </row>
    <row r="14" spans="1:31" s="8" customFormat="1" ht="21.75" customHeight="1" x14ac:dyDescent="0.35">
      <c r="A14" s="12" t="s">
        <v>42</v>
      </c>
      <c r="B14" s="13" t="s">
        <v>164</v>
      </c>
      <c r="C14" s="53" t="s">
        <v>106</v>
      </c>
      <c r="D14" s="14" t="s">
        <v>106</v>
      </c>
      <c r="E14" s="53" t="s">
        <v>106</v>
      </c>
      <c r="F14" s="53" t="s">
        <v>106</v>
      </c>
      <c r="G14" s="56" t="s">
        <v>106</v>
      </c>
      <c r="H14" s="54" t="s">
        <v>106</v>
      </c>
      <c r="I14" s="52" t="s">
        <v>106</v>
      </c>
      <c r="J14" s="54" t="s">
        <v>106</v>
      </c>
      <c r="K14" s="56" t="s">
        <v>106</v>
      </c>
      <c r="L14" s="53">
        <v>4.2460711075788193E-2</v>
      </c>
      <c r="M14" s="53">
        <v>8.2643686437673558E-2</v>
      </c>
      <c r="N14" s="53">
        <v>0.14592009871972852</v>
      </c>
      <c r="O14" s="56">
        <v>1.1171068999335776</v>
      </c>
      <c r="P14" s="53">
        <v>9.1275779514602862E-2</v>
      </c>
      <c r="Q14" s="53">
        <v>6.8310893634324035E-2</v>
      </c>
      <c r="R14" s="53">
        <v>6.2143630458318388E-2</v>
      </c>
      <c r="S14" s="56">
        <v>3.4675662820380335</v>
      </c>
      <c r="T14" s="53">
        <v>0.13884303708739032</v>
      </c>
      <c r="U14" s="53">
        <v>7.0051043621319822E-2</v>
      </c>
      <c r="V14" s="53">
        <v>5.1690954083035347E-2</v>
      </c>
      <c r="W14" s="56">
        <v>8.7348291165881609</v>
      </c>
      <c r="X14" s="31" t="s">
        <v>106</v>
      </c>
      <c r="Y14" s="33">
        <v>8</v>
      </c>
      <c r="Z14" s="48" t="s">
        <v>108</v>
      </c>
      <c r="AA14" s="50" t="s">
        <v>108</v>
      </c>
      <c r="AB14" s="50" t="s">
        <v>108</v>
      </c>
      <c r="AC14" s="47" t="s">
        <v>108</v>
      </c>
      <c r="AD14" s="47" t="s">
        <v>108</v>
      </c>
      <c r="AE14" s="47" t="s">
        <v>33</v>
      </c>
    </row>
    <row r="15" spans="1:31" s="8" customFormat="1" ht="21.75" customHeight="1" x14ac:dyDescent="0.35">
      <c r="A15" s="12" t="s">
        <v>150</v>
      </c>
      <c r="B15" s="13" t="s">
        <v>165</v>
      </c>
      <c r="C15" s="53">
        <v>3.5929869501171163E-2</v>
      </c>
      <c r="D15" s="14">
        <v>0.92116363636363641</v>
      </c>
      <c r="E15" s="53">
        <v>0.13104536594756053</v>
      </c>
      <c r="F15" s="53">
        <v>0.26763636363636362</v>
      </c>
      <c r="G15" s="56">
        <v>0.27417886349028897</v>
      </c>
      <c r="H15" s="54">
        <v>4.8107971984210574E-2</v>
      </c>
      <c r="I15" s="52">
        <v>0.10083221474898613</v>
      </c>
      <c r="J15" s="54">
        <v>0.22612240920018192</v>
      </c>
      <c r="K15" s="56">
        <v>0.47710914715075525</v>
      </c>
      <c r="L15" s="53">
        <v>4.5479086959482773E-2</v>
      </c>
      <c r="M15" s="53">
        <v>8.895142526896857E-2</v>
      </c>
      <c r="N15" s="53">
        <v>0.18111961533194346</v>
      </c>
      <c r="O15" s="56">
        <v>0.51128002527182126</v>
      </c>
      <c r="P15" s="53">
        <v>8.3543585642921192E-2</v>
      </c>
      <c r="Q15" s="53">
        <v>7.9833722619425618E-2</v>
      </c>
      <c r="R15" s="53">
        <v>8.1719296298351563E-2</v>
      </c>
      <c r="S15" s="56">
        <v>1.0464698739050515</v>
      </c>
      <c r="T15" s="53">
        <v>9.2674960703666542E-2</v>
      </c>
      <c r="U15" s="53">
        <v>8.8813880427431199E-2</v>
      </c>
      <c r="V15" s="53">
        <v>7.5848226841553443E-2</v>
      </c>
      <c r="W15" s="56">
        <v>1.0434738382970463</v>
      </c>
      <c r="X15" s="31">
        <v>44926</v>
      </c>
      <c r="Y15" s="33">
        <v>8</v>
      </c>
      <c r="Z15" s="33" t="s">
        <v>108</v>
      </c>
      <c r="AA15" s="47" t="s">
        <v>108</v>
      </c>
      <c r="AB15" s="47" t="s">
        <v>108</v>
      </c>
      <c r="AC15" s="47" t="s">
        <v>107</v>
      </c>
      <c r="AD15" s="47" t="s">
        <v>108</v>
      </c>
      <c r="AE15" s="47" t="s">
        <v>31</v>
      </c>
    </row>
    <row r="16" spans="1:31" s="8" customFormat="1" ht="21.75" customHeight="1" x14ac:dyDescent="0.35">
      <c r="A16" s="12"/>
      <c r="B16" s="13"/>
      <c r="C16" s="21"/>
      <c r="D16" s="21"/>
      <c r="E16" s="21"/>
      <c r="F16" s="21"/>
      <c r="G16" s="24"/>
      <c r="H16" s="21"/>
      <c r="I16" s="21"/>
      <c r="J16" s="21"/>
      <c r="K16" s="24"/>
      <c r="L16" s="21"/>
      <c r="M16" s="21"/>
      <c r="N16" s="21"/>
      <c r="O16" s="24"/>
      <c r="P16" s="21"/>
      <c r="Q16" s="21"/>
      <c r="R16" s="21"/>
      <c r="S16" s="24"/>
      <c r="T16" s="21"/>
      <c r="U16" s="21"/>
      <c r="V16" s="21"/>
      <c r="W16" s="24"/>
      <c r="X16" s="16"/>
      <c r="Y16" s="28"/>
      <c r="Z16" s="15"/>
      <c r="AA16" s="15"/>
      <c r="AB16" s="15"/>
      <c r="AC16" s="15"/>
    </row>
    <row r="17" spans="1:31" s="8" customFormat="1" ht="21.75" customHeight="1" x14ac:dyDescent="0.35">
      <c r="A17" s="36" t="s">
        <v>2</v>
      </c>
      <c r="B17" s="36" t="s">
        <v>3</v>
      </c>
      <c r="C17" s="37">
        <f>AVERAGE(Table9[Performance annualisée depuis 01/08])</f>
        <v>3.9381519102613304E-2</v>
      </c>
      <c r="D17" s="37">
        <f>AVERAGE(Table9[Perf. Totale depuis 01/08])</f>
        <v>1.0557443503463466</v>
      </c>
      <c r="E17" s="37">
        <f>AVERAGE(Table9[Volatilité annualisée depuis 01/08])</f>
        <v>9.9605628884822786E-2</v>
      </c>
      <c r="F17" s="37">
        <f>AVERAGE(Table9[Max Drawdown depuis 01/08])</f>
        <v>0.28408165043077616</v>
      </c>
      <c r="G17" s="42">
        <f>AVERAGE(Table9[Couple Rendement / Risque depuis 01/08])</f>
        <v>0.41148010050517569</v>
      </c>
      <c r="H17" s="37">
        <f>AVERAGE(Table9[Performance annualisée 10 ans])</f>
        <v>4.7269003696986639E-2</v>
      </c>
      <c r="I17" s="37">
        <f>AVERAGE(Table9[Volatilité annualisée 10 ans])</f>
        <v>8.1130493370539944E-2</v>
      </c>
      <c r="J17" s="37">
        <f>AVERAGE(Table9[Max Drawdown 10 ans])</f>
        <v>0.21666282985467936</v>
      </c>
      <c r="K17" s="42">
        <f>AVERAGE(Table9[Couple Rendement Risque 10 ans])</f>
        <v>0.58907726033166263</v>
      </c>
      <c r="L17" s="37">
        <f>AVERAGE(Table9[Performance annualisée 5 ans])</f>
        <v>4.0519277004642064E-2</v>
      </c>
      <c r="M17" s="37">
        <f>AVERAGE(Table9[Volatilité annualisée 5 ans])</f>
        <v>7.6941069084894703E-2</v>
      </c>
      <c r="N17" s="37">
        <f>AVERAGE(Table9[Max Drawdown 5 ans])</f>
        <v>0.17619621004868313</v>
      </c>
      <c r="O17" s="42">
        <f>AVERAGE(Table9[Couple Rendement Risque 5 ans])</f>
        <v>0.57876712298972832</v>
      </c>
      <c r="P17" s="37">
        <f>AVERAGE(Table9[Performance annualisée 3 ans])</f>
        <v>8.6042509359963784E-2</v>
      </c>
      <c r="Q17" s="37">
        <f>AVERAGE(Table9[Volatilité annualisée 3 ans])</f>
        <v>6.9958299643827326E-2</v>
      </c>
      <c r="R17" s="37">
        <f>AVERAGE(Table9[Max Drawdown 3 ans])</f>
        <v>8.5371031923611243E-2</v>
      </c>
      <c r="S17" s="42">
        <f>AVERAGE(Table9[Couple Rendement Risque 3 ans])</f>
        <v>1.4226395500802489</v>
      </c>
      <c r="T17" s="37">
        <f>AVERAGE(Table9[Performance annualisée 1 an])</f>
        <v>0.10859187077553885</v>
      </c>
      <c r="U17" s="37">
        <f>AVERAGE(Table9[Volatilité annualisée 1 an])</f>
        <v>7.4010374411112537E-2</v>
      </c>
      <c r="V17" s="37">
        <f>AVERAGE(Table9[Max Drawdown 1 an])</f>
        <v>6.4977883910163042E-2</v>
      </c>
      <c r="W17" s="42">
        <f>AVERAGE(Table9[Couple Rendement Risque 1 an])</f>
        <v>2.0528410711923235</v>
      </c>
      <c r="X17" s="38"/>
      <c r="Y17" s="37"/>
      <c r="Z17" s="37"/>
      <c r="AA17" s="37"/>
      <c r="AB17" s="37"/>
      <c r="AC17" s="37"/>
      <c r="AD17" s="37"/>
      <c r="AE17" s="37"/>
    </row>
    <row r="18" spans="1:31" s="1" customFormat="1" ht="21.75" customHeight="1" x14ac:dyDescent="0.35">
      <c r="A18" s="7"/>
      <c r="B18" s="2"/>
      <c r="C18" s="2"/>
      <c r="D18" s="5"/>
      <c r="E18" s="5"/>
      <c r="F18" s="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31" ht="21.75" customHeight="1" x14ac:dyDescent="0.35">
      <c r="E19" s="2"/>
      <c r="F19" s="2"/>
    </row>
    <row r="20" spans="1:31" ht="21.75" customHeight="1" x14ac:dyDescent="0.35">
      <c r="E20" s="2"/>
      <c r="F20" s="2"/>
    </row>
    <row r="21" spans="1:31" ht="21.75" customHeight="1" x14ac:dyDescent="0.35">
      <c r="E21" s="2"/>
      <c r="F21" s="2"/>
    </row>
    <row r="22" spans="1:31" x14ac:dyDescent="0.35">
      <c r="E22" s="2"/>
      <c r="F22" s="2"/>
      <c r="AB22" s="6"/>
    </row>
    <row r="23" spans="1:31" x14ac:dyDescent="0.35">
      <c r="E23" s="2"/>
      <c r="F23" s="2"/>
    </row>
    <row r="24" spans="1:31" x14ac:dyDescent="0.35">
      <c r="E24" s="2"/>
      <c r="F24" s="2"/>
    </row>
    <row r="25" spans="1:31" x14ac:dyDescent="0.35">
      <c r="E25" s="2"/>
      <c r="F25" s="2"/>
    </row>
    <row r="26" spans="1:31" x14ac:dyDescent="0.35">
      <c r="E26" s="2"/>
      <c r="F26" s="2"/>
    </row>
    <row r="27" spans="1:31" x14ac:dyDescent="0.35">
      <c r="E27" s="2"/>
      <c r="F27" s="2"/>
    </row>
    <row r="28" spans="1:31" x14ac:dyDescent="0.35">
      <c r="E28" s="2"/>
      <c r="F28" s="2"/>
    </row>
    <row r="29" spans="1:31" x14ac:dyDescent="0.35">
      <c r="E29" s="2"/>
      <c r="F29" s="2"/>
    </row>
    <row r="30" spans="1:31" x14ac:dyDescent="0.35">
      <c r="E30" s="2"/>
      <c r="F30" s="2"/>
    </row>
    <row r="31" spans="1:31" x14ac:dyDescent="0.35">
      <c r="E31" s="2"/>
      <c r="F31" s="2"/>
    </row>
    <row r="32" spans="1:31" x14ac:dyDescent="0.35">
      <c r="E32" s="2"/>
      <c r="F32" s="2"/>
    </row>
    <row r="33" spans="5:6" x14ac:dyDescent="0.35">
      <c r="E33" s="2"/>
      <c r="F33" s="2"/>
    </row>
    <row r="34" spans="5:6" x14ac:dyDescent="0.35">
      <c r="E34" s="2"/>
      <c r="F34" s="2"/>
    </row>
    <row r="35" spans="5:6" x14ac:dyDescent="0.35">
      <c r="E35" s="2"/>
      <c r="F35" s="2"/>
    </row>
    <row r="36" spans="5:6" x14ac:dyDescent="0.35">
      <c r="E36" s="2"/>
      <c r="F36" s="2"/>
    </row>
    <row r="37" spans="5:6" x14ac:dyDescent="0.35">
      <c r="E37" s="2"/>
      <c r="F37" s="2"/>
    </row>
    <row r="38" spans="5:6" x14ac:dyDescent="0.35">
      <c r="E38" s="2"/>
      <c r="F38" s="2"/>
    </row>
    <row r="39" spans="5:6" x14ac:dyDescent="0.35">
      <c r="E39" s="2"/>
      <c r="F39" s="2"/>
    </row>
    <row r="40" spans="5:6" x14ac:dyDescent="0.35">
      <c r="E40" s="2"/>
      <c r="F40" s="2"/>
    </row>
    <row r="41" spans="5:6" x14ac:dyDescent="0.35">
      <c r="E41" s="2"/>
      <c r="F41" s="2"/>
    </row>
    <row r="42" spans="5:6" x14ac:dyDescent="0.35">
      <c r="E42" s="2"/>
      <c r="F42" s="2"/>
    </row>
    <row r="43" spans="5:6" x14ac:dyDescent="0.35">
      <c r="E43" s="2"/>
      <c r="F43" s="2"/>
    </row>
    <row r="44" spans="5:6" x14ac:dyDescent="0.35">
      <c r="E44" s="2"/>
      <c r="F44" s="2"/>
    </row>
    <row r="45" spans="5:6" x14ac:dyDescent="0.35">
      <c r="E45" s="2"/>
      <c r="F45" s="2"/>
    </row>
  </sheetData>
  <sheetProtection selectLockedCells="1"/>
  <phoneticPr fontId="22" type="noConversion"/>
  <conditionalFormatting sqref="C4:C16">
    <cfRule type="iconSet" priority="449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16">
    <cfRule type="iconSet" priority="450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16">
    <cfRule type="iconSet" priority="450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16">
    <cfRule type="iconSet" priority="450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16">
    <cfRule type="iconSet" priority="450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5:X25">
    <cfRule type="iconSet" priority="34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16">
    <cfRule type="iconSet" priority="450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5">
    <cfRule type="iconSet" priority="451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16">
    <cfRule type="iconSet" priority="331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16">
    <cfRule type="iconSet" priority="451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5">
    <cfRule type="iconSet" priority="451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16">
    <cfRule type="iconSet" priority="331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16">
    <cfRule type="iconSet" priority="451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16">
    <cfRule type="iconSet" priority="451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16">
    <cfRule type="iconSet" priority="451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5">
    <cfRule type="iconSet" priority="452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16">
    <cfRule type="iconSet" priority="332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16">
    <cfRule type="iconSet" priority="452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16">
    <cfRule type="iconSet" priority="4524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16">
    <cfRule type="iconSet" priority="452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5">
    <cfRule type="iconSet" priority="452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16">
    <cfRule type="iconSet" priority="333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16">
    <cfRule type="iconSet" priority="452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16">
    <cfRule type="iconSet" priority="453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16">
    <cfRule type="iconSet" priority="453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5">
    <cfRule type="iconSet" priority="453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16">
    <cfRule type="iconSet" priority="334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00C14-FFBD-46CE-84D6-29168A9E9A8A}">
  <sheetPr>
    <tabColor rgb="FF008000"/>
    <pageSetUpPr fitToPage="1"/>
  </sheetPr>
  <dimension ref="A1:AF49"/>
  <sheetViews>
    <sheetView showGridLines="0" zoomScale="70" zoomScaleNormal="70" workbookViewId="0">
      <pane xSplit="1" topLeftCell="B1" activePane="topRight" state="frozenSplit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146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8" customFormat="1" ht="21.75" customHeight="1" x14ac:dyDescent="0.35">
      <c r="A4" s="12" t="s">
        <v>68</v>
      </c>
      <c r="B4" s="13" t="s">
        <v>166</v>
      </c>
      <c r="C4" s="21">
        <v>5.9519608167057259E-2</v>
      </c>
      <c r="D4" s="21">
        <v>1.9136617572371759</v>
      </c>
      <c r="E4" s="21">
        <v>0.12852768752763399</v>
      </c>
      <c r="F4" s="21">
        <v>0.30262684418855706</v>
      </c>
      <c r="G4" s="41">
        <v>0.46308783198375286</v>
      </c>
      <c r="H4" s="21">
        <v>7.2665785465556132E-2</v>
      </c>
      <c r="I4" s="43">
        <v>9.4673757602554642E-2</v>
      </c>
      <c r="J4" s="21">
        <v>0.27958387516254884</v>
      </c>
      <c r="K4" s="41">
        <v>0.76753883341792428</v>
      </c>
      <c r="L4" s="21">
        <v>6.315314645722192E-2</v>
      </c>
      <c r="M4" s="21">
        <v>8.890699900661804E-2</v>
      </c>
      <c r="N4" s="21">
        <v>0.20208749722407288</v>
      </c>
      <c r="O4" s="41">
        <v>0.71032817621614852</v>
      </c>
      <c r="P4" s="21">
        <v>0.1204726797891531</v>
      </c>
      <c r="Q4" s="21">
        <v>8.4668035916294626E-2</v>
      </c>
      <c r="R4" s="21">
        <v>0.11482381530984206</v>
      </c>
      <c r="S4" s="41">
        <v>1.4228826556016492</v>
      </c>
      <c r="T4" s="21">
        <v>0.17526304296054596</v>
      </c>
      <c r="U4" s="21">
        <v>9.1643685593832389E-2</v>
      </c>
      <c r="V4" s="21">
        <v>7.578793951539449E-2</v>
      </c>
      <c r="W4" s="41">
        <v>1.9124399223457371</v>
      </c>
      <c r="X4" s="31">
        <v>44562</v>
      </c>
      <c r="Y4" s="33">
        <v>8</v>
      </c>
      <c r="Z4" s="33" t="s">
        <v>119</v>
      </c>
      <c r="AA4" s="47" t="s">
        <v>108</v>
      </c>
      <c r="AB4" s="47" t="s">
        <v>108</v>
      </c>
      <c r="AC4" s="47" t="s">
        <v>108</v>
      </c>
      <c r="AD4" s="47" t="s">
        <v>108</v>
      </c>
      <c r="AE4" s="47" t="s">
        <v>31</v>
      </c>
    </row>
    <row r="5" spans="1:31" s="8" customFormat="1" ht="21.75" customHeight="1" x14ac:dyDescent="0.35">
      <c r="A5" s="12" t="s">
        <v>241</v>
      </c>
      <c r="B5" s="13" t="s">
        <v>253</v>
      </c>
      <c r="C5" s="14">
        <v>3.5555068390954014E-2</v>
      </c>
      <c r="D5" s="14">
        <v>0.90834740865854746</v>
      </c>
      <c r="E5" s="14">
        <v>8.6641812114078495E-2</v>
      </c>
      <c r="F5" s="14">
        <v>0.26793492754911552</v>
      </c>
      <c r="G5" s="44">
        <v>0.41036847595177023</v>
      </c>
      <c r="H5" s="40">
        <v>5.259054147700204E-2</v>
      </c>
      <c r="I5" s="59">
        <v>8.0090969050553448E-2</v>
      </c>
      <c r="J5" s="40">
        <v>0.20606372045220972</v>
      </c>
      <c r="K5" s="44">
        <v>0.65663510006736059</v>
      </c>
      <c r="L5" s="14">
        <v>5.2673901738537365E-2</v>
      </c>
      <c r="M5" s="14">
        <v>8.2021609679438862E-2</v>
      </c>
      <c r="N5" s="14">
        <v>0.15437827866489884</v>
      </c>
      <c r="O5" s="44">
        <v>0.64219541587150342</v>
      </c>
      <c r="P5" s="14">
        <v>0.11154482477444461</v>
      </c>
      <c r="Q5" s="14">
        <v>7.749603326739915E-2</v>
      </c>
      <c r="R5" s="14">
        <v>7.9558948261238299E-2</v>
      </c>
      <c r="S5" s="44">
        <v>1.4393617333878304</v>
      </c>
      <c r="T5" s="14">
        <v>0.20427032113134613</v>
      </c>
      <c r="U5" s="14">
        <v>8.2173436022247845E-2</v>
      </c>
      <c r="V5" s="14">
        <v>7.386363636363634E-2</v>
      </c>
      <c r="W5" s="44">
        <v>2.4858437351462519</v>
      </c>
      <c r="X5" s="31">
        <v>42005</v>
      </c>
      <c r="Y5" s="33">
        <v>8</v>
      </c>
      <c r="Z5" s="33" t="s">
        <v>108</v>
      </c>
      <c r="AA5" s="47" t="s">
        <v>108</v>
      </c>
      <c r="AB5" s="47" t="s">
        <v>108</v>
      </c>
      <c r="AC5" s="47" t="s">
        <v>108</v>
      </c>
      <c r="AD5" s="47" t="s">
        <v>108</v>
      </c>
      <c r="AE5" s="47" t="s">
        <v>33</v>
      </c>
    </row>
    <row r="6" spans="1:31" s="8" customFormat="1" ht="21.75" customHeight="1" x14ac:dyDescent="0.35">
      <c r="A6" s="12" t="s">
        <v>27</v>
      </c>
      <c r="B6" s="13" t="s">
        <v>221</v>
      </c>
      <c r="C6" s="21" t="s">
        <v>106</v>
      </c>
      <c r="D6" s="21" t="s">
        <v>106</v>
      </c>
      <c r="E6" s="21" t="s">
        <v>106</v>
      </c>
      <c r="F6" s="21" t="s">
        <v>106</v>
      </c>
      <c r="G6" s="41" t="s">
        <v>106</v>
      </c>
      <c r="H6" s="21">
        <v>3.0909710062265283E-2</v>
      </c>
      <c r="I6" s="43">
        <v>6.4145118463948242E-2</v>
      </c>
      <c r="J6" s="21">
        <v>0.21515251218454581</v>
      </c>
      <c r="K6" s="41">
        <v>0.48187158746362907</v>
      </c>
      <c r="L6" s="21">
        <v>7.2121125387667462E-3</v>
      </c>
      <c r="M6" s="21">
        <v>5.5290337048498138E-2</v>
      </c>
      <c r="N6" s="21">
        <v>0.21515251218454581</v>
      </c>
      <c r="O6" s="41">
        <v>0.1304407410727233</v>
      </c>
      <c r="P6" s="21">
        <v>6.2751898937075001E-2</v>
      </c>
      <c r="Q6" s="21">
        <v>5.3124194385328144E-2</v>
      </c>
      <c r="R6" s="21">
        <v>9.8065444693730727E-2</v>
      </c>
      <c r="S6" s="41">
        <v>1.1812301280639437</v>
      </c>
      <c r="T6" s="21">
        <v>0.1175713402117653</v>
      </c>
      <c r="U6" s="21">
        <v>5.135912190680688E-2</v>
      </c>
      <c r="V6" s="21">
        <v>6.1604887091601772E-2</v>
      </c>
      <c r="W6" s="41">
        <v>2.2892007465607191</v>
      </c>
      <c r="X6" s="31">
        <v>43830</v>
      </c>
      <c r="Y6" s="33">
        <v>8</v>
      </c>
      <c r="Z6" s="33" t="s">
        <v>108</v>
      </c>
      <c r="AA6" s="47" t="s">
        <v>108</v>
      </c>
      <c r="AB6" s="47" t="s">
        <v>108</v>
      </c>
      <c r="AC6" s="47" t="s">
        <v>108</v>
      </c>
      <c r="AD6" s="47" t="s">
        <v>108</v>
      </c>
      <c r="AE6" s="47" t="s">
        <v>31</v>
      </c>
    </row>
    <row r="7" spans="1:31" s="8" customFormat="1" ht="21.75" customHeight="1" x14ac:dyDescent="0.35">
      <c r="A7" s="12" t="s">
        <v>245</v>
      </c>
      <c r="B7" s="13" t="s">
        <v>254</v>
      </c>
      <c r="C7" s="14" t="s">
        <v>106</v>
      </c>
      <c r="D7" s="14" t="s">
        <v>106</v>
      </c>
      <c r="E7" s="14" t="s">
        <v>106</v>
      </c>
      <c r="F7" s="14" t="s">
        <v>106</v>
      </c>
      <c r="G7" s="44" t="s">
        <v>106</v>
      </c>
      <c r="H7" s="40">
        <v>4.4203557457897169E-2</v>
      </c>
      <c r="I7" s="59">
        <v>6.0297728889852659E-2</v>
      </c>
      <c r="J7" s="40">
        <v>0.13776284864493857</v>
      </c>
      <c r="K7" s="44">
        <v>0.73308826504303159</v>
      </c>
      <c r="L7" s="14">
        <v>3.7949503336488055E-2</v>
      </c>
      <c r="M7" s="14">
        <v>6.3279690641447547E-2</v>
      </c>
      <c r="N7" s="14">
        <v>0.13776284864493857</v>
      </c>
      <c r="O7" s="44">
        <v>0.5997106330926264</v>
      </c>
      <c r="P7" s="14">
        <v>8.1368799645156864E-2</v>
      </c>
      <c r="Q7" s="14">
        <v>6.4879473671681467E-2</v>
      </c>
      <c r="R7" s="14">
        <v>0.10318516546890245</v>
      </c>
      <c r="S7" s="44">
        <v>1.2541532019343837</v>
      </c>
      <c r="T7" s="14">
        <v>0.12820745792393073</v>
      </c>
      <c r="U7" s="14">
        <v>6.7487555676484193E-2</v>
      </c>
      <c r="V7" s="14">
        <v>6.0549968772345863E-2</v>
      </c>
      <c r="W7" s="44">
        <v>1.8997199800585485</v>
      </c>
      <c r="X7" s="31">
        <v>46022</v>
      </c>
      <c r="Y7" s="33">
        <v>8</v>
      </c>
      <c r="Z7" s="33" t="s">
        <v>32</v>
      </c>
      <c r="AA7" s="47" t="s">
        <v>32</v>
      </c>
      <c r="AB7" s="47" t="s">
        <v>32</v>
      </c>
      <c r="AC7" s="47" t="s">
        <v>32</v>
      </c>
      <c r="AD7" s="47" t="s">
        <v>32</v>
      </c>
      <c r="AE7" s="47" t="s">
        <v>247</v>
      </c>
    </row>
    <row r="8" spans="1:31" s="8" customFormat="1" ht="21.75" customHeight="1" x14ac:dyDescent="0.35">
      <c r="A8" s="12" t="s">
        <v>34</v>
      </c>
      <c r="B8" s="13" t="s">
        <v>167</v>
      </c>
      <c r="C8" s="21">
        <v>4.8463148793541189E-2</v>
      </c>
      <c r="D8" s="21">
        <v>1.399774034191652</v>
      </c>
      <c r="E8" s="21">
        <v>0.12546623573801344</v>
      </c>
      <c r="F8" s="21">
        <v>0.31606858183953052</v>
      </c>
      <c r="G8" s="41">
        <v>0.38626446795405012</v>
      </c>
      <c r="H8" s="21">
        <v>5.8219548914741903E-2</v>
      </c>
      <c r="I8" s="43">
        <v>0.1044394907566442</v>
      </c>
      <c r="J8" s="21">
        <v>0.24364970857020027</v>
      </c>
      <c r="K8" s="41">
        <v>0.55744765215678826</v>
      </c>
      <c r="L8" s="21">
        <v>6.362658434395474E-2</v>
      </c>
      <c r="M8" s="21">
        <v>9.6355522845876507E-2</v>
      </c>
      <c r="N8" s="21">
        <v>0.20573804573807511</v>
      </c>
      <c r="O8" s="41">
        <v>0.66033147311885099</v>
      </c>
      <c r="P8" s="21">
        <v>0.13004413676439519</v>
      </c>
      <c r="Q8" s="21">
        <v>8.9811865098764015E-2</v>
      </c>
      <c r="R8" s="21">
        <v>8.7370365108717249E-2</v>
      </c>
      <c r="S8" s="41">
        <v>1.4479616543024543</v>
      </c>
      <c r="T8" s="21">
        <v>0.12026552541220181</v>
      </c>
      <c r="U8" s="21">
        <v>9.2680151818099271E-2</v>
      </c>
      <c r="V8" s="21">
        <v>6.1785736111959824E-2</v>
      </c>
      <c r="W8" s="41">
        <v>1.2976405740923211</v>
      </c>
      <c r="X8" s="31">
        <v>42005</v>
      </c>
      <c r="Y8" s="33">
        <v>8</v>
      </c>
      <c r="Z8" s="33" t="s">
        <v>108</v>
      </c>
      <c r="AA8" s="47" t="s">
        <v>106</v>
      </c>
      <c r="AB8" s="47" t="s">
        <v>108</v>
      </c>
      <c r="AC8" s="47" t="s">
        <v>108</v>
      </c>
      <c r="AD8" s="47" t="s">
        <v>106</v>
      </c>
      <c r="AE8" s="47" t="s">
        <v>37</v>
      </c>
    </row>
    <row r="9" spans="1:31" s="8" customFormat="1" ht="21.75" customHeight="1" x14ac:dyDescent="0.35">
      <c r="A9" s="12" t="s">
        <v>131</v>
      </c>
      <c r="B9" s="13" t="s">
        <v>168</v>
      </c>
      <c r="C9" s="14">
        <v>3.5677239448554277E-2</v>
      </c>
      <c r="D9" s="14">
        <v>0.9125161052825328</v>
      </c>
      <c r="E9" s="14">
        <v>0.17185755705110717</v>
      </c>
      <c r="F9" s="14">
        <v>0.4866556230443585</v>
      </c>
      <c r="G9" s="44">
        <v>0.20759773419765618</v>
      </c>
      <c r="H9" s="40">
        <v>7.5042735694795137E-2</v>
      </c>
      <c r="I9" s="43">
        <v>0.13800256126179858</v>
      </c>
      <c r="J9" s="40">
        <v>0.32111529303325909</v>
      </c>
      <c r="K9" s="44">
        <v>0.54377784737223012</v>
      </c>
      <c r="L9" s="14">
        <v>8.6649137003905308E-2</v>
      </c>
      <c r="M9" s="14">
        <v>0.12592453524180319</v>
      </c>
      <c r="N9" s="14">
        <v>0.20663904938406191</v>
      </c>
      <c r="O9" s="44">
        <v>0.68810368716088277</v>
      </c>
      <c r="P9" s="14">
        <v>0.13602428558102186</v>
      </c>
      <c r="Q9" s="14">
        <v>0.11452995554935838</v>
      </c>
      <c r="R9" s="14">
        <v>0.15111265949571048</v>
      </c>
      <c r="S9" s="44">
        <v>1.1876743069405993</v>
      </c>
      <c r="T9" s="14">
        <v>0.15724787335416335</v>
      </c>
      <c r="U9" s="14">
        <v>0.12454160003994555</v>
      </c>
      <c r="V9" s="14">
        <v>9.8102543399273268E-2</v>
      </c>
      <c r="W9" s="44">
        <v>1.2626132417098188</v>
      </c>
      <c r="X9" s="31">
        <v>45657</v>
      </c>
      <c r="Y9" s="33">
        <v>8</v>
      </c>
      <c r="Z9" s="33" t="s">
        <v>108</v>
      </c>
      <c r="AA9" s="47" t="s">
        <v>108</v>
      </c>
      <c r="AB9" s="47" t="s">
        <v>108</v>
      </c>
      <c r="AC9" s="47" t="s">
        <v>108</v>
      </c>
      <c r="AD9" s="47" t="s">
        <v>108</v>
      </c>
      <c r="AE9" s="47" t="s">
        <v>31</v>
      </c>
    </row>
    <row r="10" spans="1:31" s="8" customFormat="1" ht="21.75" customHeight="1" x14ac:dyDescent="0.35">
      <c r="A10" s="12" t="s">
        <v>35</v>
      </c>
      <c r="B10" s="13" t="s">
        <v>169</v>
      </c>
      <c r="C10" s="14">
        <v>5.6121557776181108E-2</v>
      </c>
      <c r="D10" s="14">
        <v>1.7455809334657397</v>
      </c>
      <c r="E10" s="14">
        <v>0.10708390281233299</v>
      </c>
      <c r="F10" s="14">
        <v>0.18917576961271099</v>
      </c>
      <c r="G10" s="44">
        <v>0.52408958118136051</v>
      </c>
      <c r="H10" s="40">
        <v>6.124901209761302E-2</v>
      </c>
      <c r="I10" s="43">
        <v>9.5637507792078066E-2</v>
      </c>
      <c r="J10" s="40">
        <v>0.17988583854308224</v>
      </c>
      <c r="K10" s="44">
        <v>0.64042877644587115</v>
      </c>
      <c r="L10" s="14">
        <v>6.6778239507203185E-2</v>
      </c>
      <c r="M10" s="14">
        <v>0.10294891629185779</v>
      </c>
      <c r="N10" s="14">
        <v>0.16975695896649473</v>
      </c>
      <c r="O10" s="44">
        <v>0.64865412781897014</v>
      </c>
      <c r="P10" s="14">
        <v>0.10058296674867906</v>
      </c>
      <c r="Q10" s="14">
        <v>0.10325393142543288</v>
      </c>
      <c r="R10" s="14">
        <v>0.1540383960013631</v>
      </c>
      <c r="S10" s="44">
        <v>0.97413207768575172</v>
      </c>
      <c r="T10" s="14">
        <v>9.1620632252104706E-2</v>
      </c>
      <c r="U10" s="14">
        <v>0.10325825264588821</v>
      </c>
      <c r="V10" s="14">
        <v>9.6963084197126737E-2</v>
      </c>
      <c r="W10" s="44">
        <v>0.88729597784601943</v>
      </c>
      <c r="X10" s="31">
        <v>42005</v>
      </c>
      <c r="Y10" s="33">
        <v>8</v>
      </c>
      <c r="Z10" s="33" t="s">
        <v>107</v>
      </c>
      <c r="AA10" s="47" t="s">
        <v>108</v>
      </c>
      <c r="AB10" s="47" t="s">
        <v>108</v>
      </c>
      <c r="AC10" s="47" t="s">
        <v>108</v>
      </c>
      <c r="AD10" s="47" t="s">
        <v>108</v>
      </c>
      <c r="AE10" s="47" t="s">
        <v>33</v>
      </c>
    </row>
    <row r="11" spans="1:31" s="8" customFormat="1" ht="21.75" customHeight="1" x14ac:dyDescent="0.35">
      <c r="A11" s="12" t="s">
        <v>149</v>
      </c>
      <c r="B11" s="13" t="s">
        <v>170</v>
      </c>
      <c r="C11" s="14" t="s">
        <v>106</v>
      </c>
      <c r="D11" s="14" t="s">
        <v>106</v>
      </c>
      <c r="E11" s="14" t="s">
        <v>106</v>
      </c>
      <c r="F11" s="14" t="s">
        <v>106</v>
      </c>
      <c r="G11" s="44" t="s">
        <v>106</v>
      </c>
      <c r="H11" s="40">
        <v>5.8006351079234575E-2</v>
      </c>
      <c r="I11" s="43">
        <v>9.4413703355176889E-2</v>
      </c>
      <c r="J11" s="40">
        <v>0.1805840568271507</v>
      </c>
      <c r="K11" s="44">
        <v>0.61438487229993788</v>
      </c>
      <c r="L11" s="14">
        <v>6.361354268571251E-2</v>
      </c>
      <c r="M11" s="14">
        <v>0.10014145705063907</v>
      </c>
      <c r="N11" s="14">
        <v>0.17153985482574996</v>
      </c>
      <c r="O11" s="44">
        <v>0.63523683955931165</v>
      </c>
      <c r="P11" s="14">
        <v>9.822606299117842E-2</v>
      </c>
      <c r="Q11" s="14">
        <v>9.8908171359596606E-2</v>
      </c>
      <c r="R11" s="14">
        <v>0.14541625147205359</v>
      </c>
      <c r="S11" s="44">
        <v>0.99310361966011618</v>
      </c>
      <c r="T11" s="14">
        <v>9.3905985386484314E-2</v>
      </c>
      <c r="U11" s="14">
        <v>9.9181020204924031E-2</v>
      </c>
      <c r="V11" s="14">
        <v>9.0707650660932421E-2</v>
      </c>
      <c r="W11" s="44">
        <v>0.94681406979338745</v>
      </c>
      <c r="X11" s="31" t="s">
        <v>106</v>
      </c>
      <c r="Y11" s="33">
        <v>6</v>
      </c>
      <c r="Z11" s="33" t="s">
        <v>32</v>
      </c>
      <c r="AA11" s="47" t="s">
        <v>32</v>
      </c>
      <c r="AB11" s="47" t="s">
        <v>32</v>
      </c>
      <c r="AC11" s="47" t="s">
        <v>32</v>
      </c>
      <c r="AD11" s="47" t="s">
        <v>32</v>
      </c>
      <c r="AE11" s="47" t="s">
        <v>31</v>
      </c>
    </row>
    <row r="12" spans="1:31" s="8" customFormat="1" ht="21.75" customHeight="1" x14ac:dyDescent="0.35">
      <c r="A12" s="12" t="s">
        <v>48</v>
      </c>
      <c r="B12" s="13" t="s">
        <v>171</v>
      </c>
      <c r="C12" s="14" t="s">
        <v>106</v>
      </c>
      <c r="D12" s="14" t="s">
        <v>106</v>
      </c>
      <c r="E12" s="14" t="s">
        <v>106</v>
      </c>
      <c r="F12" s="14" t="s">
        <v>106</v>
      </c>
      <c r="G12" s="44" t="s">
        <v>106</v>
      </c>
      <c r="H12" s="40">
        <v>2.0563584877888008E-2</v>
      </c>
      <c r="I12" s="43">
        <v>4.9819193888350204E-2</v>
      </c>
      <c r="J12" s="40">
        <v>0.20594965675057203</v>
      </c>
      <c r="K12" s="44">
        <v>0.41276430373347789</v>
      </c>
      <c r="L12" s="14">
        <v>7.9255258216677227E-3</v>
      </c>
      <c r="M12" s="14">
        <v>5.1258730342110918E-2</v>
      </c>
      <c r="N12" s="14">
        <v>0.20594965675057203</v>
      </c>
      <c r="O12" s="44">
        <v>0.15461806737644873</v>
      </c>
      <c r="P12" s="14">
        <v>7.34254600579336E-2</v>
      </c>
      <c r="Q12" s="14">
        <v>5.2285614236428885E-2</v>
      </c>
      <c r="R12" s="14">
        <v>6.6543281771458102E-2</v>
      </c>
      <c r="S12" s="44">
        <v>1.4043147647823937</v>
      </c>
      <c r="T12" s="14">
        <v>0.11515255087257437</v>
      </c>
      <c r="U12" s="14">
        <v>7.0926224059691442E-2</v>
      </c>
      <c r="V12" s="14">
        <v>6.6543281771458102E-2</v>
      </c>
      <c r="W12" s="44">
        <v>1.6235539449507714</v>
      </c>
      <c r="X12" s="31">
        <v>43830</v>
      </c>
      <c r="Y12" s="33">
        <v>8</v>
      </c>
      <c r="Z12" s="33" t="s">
        <v>108</v>
      </c>
      <c r="AA12" s="47" t="s">
        <v>106</v>
      </c>
      <c r="AB12" s="47" t="s">
        <v>108</v>
      </c>
      <c r="AC12" s="47" t="s">
        <v>108</v>
      </c>
      <c r="AD12" s="47" t="s">
        <v>106</v>
      </c>
      <c r="AE12" s="47" t="s">
        <v>33</v>
      </c>
    </row>
    <row r="13" spans="1:31" s="8" customFormat="1" ht="21.75" customHeight="1" x14ac:dyDescent="0.35">
      <c r="A13" s="12" t="s">
        <v>74</v>
      </c>
      <c r="B13" s="13" t="s">
        <v>172</v>
      </c>
      <c r="C13" s="14">
        <v>5.9791340111476243E-2</v>
      </c>
      <c r="D13" s="14">
        <v>1.9275147928994083</v>
      </c>
      <c r="E13" s="14">
        <v>0.12245203487972774</v>
      </c>
      <c r="F13" s="14">
        <v>0.24046920821114376</v>
      </c>
      <c r="G13" s="44">
        <v>0.48828376082278452</v>
      </c>
      <c r="H13" s="40">
        <v>5.3702203186345443E-2</v>
      </c>
      <c r="I13" s="43">
        <v>0.11931284104791923</v>
      </c>
      <c r="J13" s="40">
        <v>0.23989218328840975</v>
      </c>
      <c r="K13" s="44">
        <v>0.45009575427658455</v>
      </c>
      <c r="L13" s="14">
        <v>6.1133809336448186E-2</v>
      </c>
      <c r="M13" s="14">
        <v>0.11752326731353868</v>
      </c>
      <c r="N13" s="14">
        <v>0.19002525252525251</v>
      </c>
      <c r="O13" s="44">
        <v>0.52018473221434658</v>
      </c>
      <c r="P13" s="14">
        <v>0.11306540267996024</v>
      </c>
      <c r="Q13" s="14">
        <v>0.11935620844357506</v>
      </c>
      <c r="R13" s="14">
        <v>0.18725974739154311</v>
      </c>
      <c r="S13" s="44">
        <v>0.94729385387113096</v>
      </c>
      <c r="T13" s="14">
        <v>0.16150399534115945</v>
      </c>
      <c r="U13" s="14">
        <v>0.11142347276239159</v>
      </c>
      <c r="V13" s="14">
        <v>8.0490405117270861E-2</v>
      </c>
      <c r="W13" s="44">
        <v>1.449461153356471</v>
      </c>
      <c r="X13" s="31">
        <v>42005</v>
      </c>
      <c r="Y13" s="33">
        <v>6</v>
      </c>
      <c r="Z13" s="33" t="s">
        <v>108</v>
      </c>
      <c r="AA13" s="47" t="s">
        <v>108</v>
      </c>
      <c r="AB13" s="47" t="s">
        <v>108</v>
      </c>
      <c r="AC13" s="47" t="s">
        <v>108</v>
      </c>
      <c r="AD13" s="47" t="s">
        <v>108</v>
      </c>
      <c r="AE13" s="47" t="s">
        <v>33</v>
      </c>
    </row>
    <row r="14" spans="1:31" s="8" customFormat="1" ht="21.75" customHeight="1" x14ac:dyDescent="0.35">
      <c r="A14" s="12" t="s">
        <v>49</v>
      </c>
      <c r="B14" s="13" t="s">
        <v>173</v>
      </c>
      <c r="C14" s="14">
        <v>4.9053420112826984E-2</v>
      </c>
      <c r="D14" s="14">
        <v>1.4248876154720151</v>
      </c>
      <c r="E14" s="14">
        <v>8.3564541560138664E-2</v>
      </c>
      <c r="F14" s="14">
        <v>0.22508022710441866</v>
      </c>
      <c r="G14" s="44">
        <v>0.58701237626637182</v>
      </c>
      <c r="H14" s="40">
        <v>4.781998275015642E-2</v>
      </c>
      <c r="I14" s="43">
        <v>8.219048857016524E-2</v>
      </c>
      <c r="J14" s="40">
        <v>0.19579912460179746</v>
      </c>
      <c r="K14" s="44">
        <v>0.58181893771483006</v>
      </c>
      <c r="L14" s="14">
        <v>3.6761673685048457E-2</v>
      </c>
      <c r="M14" s="14">
        <v>7.888586331302451E-2</v>
      </c>
      <c r="N14" s="14">
        <v>0.16978578964267688</v>
      </c>
      <c r="O14" s="44">
        <v>0.46601091933513633</v>
      </c>
      <c r="P14" s="14">
        <v>8.8632309124561104E-2</v>
      </c>
      <c r="Q14" s="14">
        <v>7.4496486122749964E-2</v>
      </c>
      <c r="R14" s="14">
        <v>0.11996503114413722</v>
      </c>
      <c r="S14" s="44">
        <v>1.1897515404756023</v>
      </c>
      <c r="T14" s="14">
        <v>0.12434010683838204</v>
      </c>
      <c r="U14" s="14">
        <v>6.5383964067913053E-2</v>
      </c>
      <c r="V14" s="14">
        <v>5.2646068486478383E-2</v>
      </c>
      <c r="W14" s="44">
        <v>1.9016911655774249</v>
      </c>
      <c r="X14" s="31">
        <v>43465</v>
      </c>
      <c r="Y14" s="33">
        <v>8</v>
      </c>
      <c r="Z14" s="33" t="s">
        <v>107</v>
      </c>
      <c r="AA14" s="47" t="s">
        <v>106</v>
      </c>
      <c r="AB14" s="47" t="s">
        <v>108</v>
      </c>
      <c r="AC14" s="47" t="s">
        <v>108</v>
      </c>
      <c r="AD14" s="47" t="s">
        <v>106</v>
      </c>
      <c r="AE14" s="47" t="s">
        <v>33</v>
      </c>
    </row>
    <row r="15" spans="1:31" s="8" customFormat="1" ht="21.75" customHeight="1" x14ac:dyDescent="0.35">
      <c r="A15" s="12" t="s">
        <v>57</v>
      </c>
      <c r="B15" s="13" t="s">
        <v>175</v>
      </c>
      <c r="C15" s="14">
        <v>1.4540105552490079E-2</v>
      </c>
      <c r="D15" s="14">
        <v>0.30605436450161938</v>
      </c>
      <c r="E15" s="14">
        <v>3.898327583493346E-2</v>
      </c>
      <c r="F15" s="14">
        <v>0.18776361823235274</v>
      </c>
      <c r="G15" s="44">
        <v>0.37298316370479279</v>
      </c>
      <c r="H15" s="40">
        <v>1.0029794411615001E-2</v>
      </c>
      <c r="I15" s="43">
        <v>3.6209509014086323E-2</v>
      </c>
      <c r="J15" s="40">
        <v>0.18776361823235274</v>
      </c>
      <c r="K15" s="44">
        <v>0.2769933833599672</v>
      </c>
      <c r="L15" s="14">
        <v>8.2289147920193706E-3</v>
      </c>
      <c r="M15" s="14">
        <v>2.8369317038575755E-2</v>
      </c>
      <c r="N15" s="14">
        <v>0.12487477459427036</v>
      </c>
      <c r="O15" s="44">
        <v>0.29006390181441227</v>
      </c>
      <c r="P15" s="14">
        <v>3.8211540583004133E-2</v>
      </c>
      <c r="Q15" s="14">
        <v>1.8821869339298292E-2</v>
      </c>
      <c r="R15" s="14">
        <v>1.9478401802567848E-2</v>
      </c>
      <c r="S15" s="44">
        <v>2.0301671366521514</v>
      </c>
      <c r="T15" s="14">
        <v>1.6673567240155673E-2</v>
      </c>
      <c r="U15" s="14">
        <v>2.1703042049610041E-2</v>
      </c>
      <c r="V15" s="14">
        <v>1.9154652876087332E-2</v>
      </c>
      <c r="W15" s="44">
        <v>0.7682594542296094</v>
      </c>
      <c r="X15" s="31">
        <v>43281</v>
      </c>
      <c r="Y15" s="33">
        <v>8</v>
      </c>
      <c r="Z15" s="33" t="s">
        <v>108</v>
      </c>
      <c r="AA15" s="47" t="s">
        <v>106</v>
      </c>
      <c r="AB15" s="47" t="s">
        <v>108</v>
      </c>
      <c r="AC15" s="47" t="s">
        <v>108</v>
      </c>
      <c r="AD15" s="47" t="s">
        <v>106</v>
      </c>
      <c r="AE15" s="47" t="s">
        <v>33</v>
      </c>
    </row>
    <row r="16" spans="1:31" s="8" customFormat="1" ht="21.75" customHeight="1" x14ac:dyDescent="0.35">
      <c r="A16" s="12" t="s">
        <v>58</v>
      </c>
      <c r="B16" s="13" t="s">
        <v>174</v>
      </c>
      <c r="C16" s="14">
        <v>5.5511082615338436E-2</v>
      </c>
      <c r="D16" s="14">
        <v>1.7163735269613518</v>
      </c>
      <c r="E16" s="14">
        <v>9.8434446944955289E-2</v>
      </c>
      <c r="F16" s="14">
        <v>0.30298237686398549</v>
      </c>
      <c r="G16" s="44">
        <v>0.56393959978644803</v>
      </c>
      <c r="H16" s="40">
        <v>7.0040844512946343E-2</v>
      </c>
      <c r="I16" s="43">
        <v>9.610905581618176E-2</v>
      </c>
      <c r="J16" s="40">
        <v>0.26258551045087969</v>
      </c>
      <c r="K16" s="44">
        <v>0.72876425554431112</v>
      </c>
      <c r="L16" s="14">
        <v>4.9478327523982069E-2</v>
      </c>
      <c r="M16" s="14">
        <v>6.6219048366885927E-2</v>
      </c>
      <c r="N16" s="14">
        <v>8.861093269328281E-2</v>
      </c>
      <c r="O16" s="44">
        <v>0.74719176346129179</v>
      </c>
      <c r="P16" s="14">
        <v>6.7696030662987239E-2</v>
      </c>
      <c r="Q16" s="14">
        <v>6.3770622104517491E-2</v>
      </c>
      <c r="R16" s="14">
        <v>8.861093269328281E-2</v>
      </c>
      <c r="S16" s="44">
        <v>1.0615551241139871</v>
      </c>
      <c r="T16" s="14">
        <v>0.1197355557835742</v>
      </c>
      <c r="U16" s="14">
        <v>7.6628579552048201E-2</v>
      </c>
      <c r="V16" s="14">
        <v>7.3219863581309441E-2</v>
      </c>
      <c r="W16" s="44">
        <v>1.5625443729156767</v>
      </c>
      <c r="X16" s="31">
        <v>45107</v>
      </c>
      <c r="Y16" s="33">
        <v>8</v>
      </c>
      <c r="Z16" s="33" t="s">
        <v>107</v>
      </c>
      <c r="AA16" s="47" t="s">
        <v>106</v>
      </c>
      <c r="AB16" s="47" t="s">
        <v>108</v>
      </c>
      <c r="AC16" s="47" t="s">
        <v>108</v>
      </c>
      <c r="AD16" s="47" t="s">
        <v>106</v>
      </c>
      <c r="AE16" s="47" t="s">
        <v>33</v>
      </c>
    </row>
    <row r="17" spans="1:32" s="8" customFormat="1" ht="21.75" customHeight="1" x14ac:dyDescent="0.35">
      <c r="A17" s="12" t="s">
        <v>50</v>
      </c>
      <c r="B17" s="13" t="s">
        <v>176</v>
      </c>
      <c r="C17" s="14">
        <v>4.7831712887870692E-2</v>
      </c>
      <c r="D17" s="14">
        <v>1.3731815303430079</v>
      </c>
      <c r="E17" s="14">
        <v>7.5198341748484818E-2</v>
      </c>
      <c r="F17" s="14">
        <v>0.24010554089709757</v>
      </c>
      <c r="G17" s="44">
        <v>0.63607403801340423</v>
      </c>
      <c r="H17" s="40">
        <v>5.2039482865590569E-2</v>
      </c>
      <c r="I17" s="43">
        <v>7.0640329141546512E-2</v>
      </c>
      <c r="J17" s="40">
        <v>0.20372914743833631</v>
      </c>
      <c r="K17" s="44">
        <v>0.73668233851679477</v>
      </c>
      <c r="L17" s="14">
        <v>4.2358900022882562E-2</v>
      </c>
      <c r="M17" s="14">
        <v>6.5305439903819901E-2</v>
      </c>
      <c r="N17" s="14">
        <v>0.13983000555959271</v>
      </c>
      <c r="O17" s="44">
        <v>0.64862743571236348</v>
      </c>
      <c r="P17" s="14">
        <v>7.9596671951606801E-2</v>
      </c>
      <c r="Q17" s="14">
        <v>5.9447002129775321E-2</v>
      </c>
      <c r="R17" s="14">
        <v>8.7218658172628499E-2</v>
      </c>
      <c r="S17" s="44">
        <v>1.3389518243130898</v>
      </c>
      <c r="T17" s="14">
        <v>0.10924581244608533</v>
      </c>
      <c r="U17" s="14">
        <v>6.1205971265029857E-2</v>
      </c>
      <c r="V17" s="14">
        <v>5.8097099987818528E-2</v>
      </c>
      <c r="W17" s="44">
        <v>1.7848881438877373</v>
      </c>
      <c r="X17" s="31">
        <v>42370</v>
      </c>
      <c r="Y17" s="33">
        <v>8</v>
      </c>
      <c r="Z17" s="33" t="s">
        <v>32</v>
      </c>
      <c r="AA17" s="47" t="s">
        <v>32</v>
      </c>
      <c r="AB17" s="47" t="s">
        <v>32</v>
      </c>
      <c r="AC17" s="47" t="s">
        <v>32</v>
      </c>
      <c r="AD17" s="47" t="s">
        <v>32</v>
      </c>
      <c r="AE17" s="47" t="s">
        <v>31</v>
      </c>
    </row>
    <row r="18" spans="1:32" s="8" customFormat="1" ht="21.75" customHeight="1" x14ac:dyDescent="0.35">
      <c r="A18" s="12" t="s">
        <v>59</v>
      </c>
      <c r="B18" s="13" t="s">
        <v>177</v>
      </c>
      <c r="C18" s="14" t="s">
        <v>106</v>
      </c>
      <c r="D18" s="14" t="s">
        <v>106</v>
      </c>
      <c r="E18" s="14" t="s">
        <v>106</v>
      </c>
      <c r="F18" s="14" t="s">
        <v>106</v>
      </c>
      <c r="G18" s="44" t="s">
        <v>106</v>
      </c>
      <c r="H18" s="40">
        <v>3.364949048914978E-2</v>
      </c>
      <c r="I18" s="43">
        <v>4.5457344257016891E-2</v>
      </c>
      <c r="J18" s="40">
        <v>0.13795057007294104</v>
      </c>
      <c r="K18" s="44">
        <v>0.74024321128165282</v>
      </c>
      <c r="L18" s="14">
        <v>3.3285151897634702E-2</v>
      </c>
      <c r="M18" s="14">
        <v>5.1327128223609159E-2</v>
      </c>
      <c r="N18" s="14">
        <v>0.13795057007294104</v>
      </c>
      <c r="O18" s="44">
        <v>0.64849043867457967</v>
      </c>
      <c r="P18" s="14">
        <v>8.3894625034704129E-2</v>
      </c>
      <c r="Q18" s="14">
        <v>5.2065391653167058E-2</v>
      </c>
      <c r="R18" s="14">
        <v>5.0412863972186035E-2</v>
      </c>
      <c r="S18" s="44">
        <v>1.6113318726874677</v>
      </c>
      <c r="T18" s="14">
        <v>8.2694165652920093E-2</v>
      </c>
      <c r="U18" s="14">
        <v>5.2720457541122527E-2</v>
      </c>
      <c r="V18" s="14">
        <v>5.0412863972186035E-2</v>
      </c>
      <c r="W18" s="44">
        <v>1.5685403638315876</v>
      </c>
      <c r="X18" s="31">
        <v>43830</v>
      </c>
      <c r="Y18" s="33">
        <v>8</v>
      </c>
      <c r="Z18" s="33" t="s">
        <v>108</v>
      </c>
      <c r="AA18" s="47" t="s">
        <v>108</v>
      </c>
      <c r="AB18" s="47" t="s">
        <v>108</v>
      </c>
      <c r="AC18" s="47" t="s">
        <v>108</v>
      </c>
      <c r="AD18" s="47" t="s">
        <v>108</v>
      </c>
      <c r="AE18" s="47" t="s">
        <v>33</v>
      </c>
    </row>
    <row r="19" spans="1:32" s="1" customFormat="1" ht="21.75" customHeight="1" x14ac:dyDescent="0.35">
      <c r="A19" s="12" t="s">
        <v>150</v>
      </c>
      <c r="B19" s="13" t="s">
        <v>178</v>
      </c>
      <c r="C19" s="14">
        <v>4.1515810873947956E-2</v>
      </c>
      <c r="D19" s="14">
        <v>1.1220916225771163</v>
      </c>
      <c r="E19" s="14">
        <v>0.12818360587624478</v>
      </c>
      <c r="F19" s="14">
        <v>0.32908741929855168</v>
      </c>
      <c r="G19" s="44">
        <v>0.32387769551458484</v>
      </c>
      <c r="H19" s="40">
        <v>5.883749142194028E-2</v>
      </c>
      <c r="I19" s="43">
        <v>9.1840596004465924E-2</v>
      </c>
      <c r="J19" s="40">
        <v>0.27791250363759801</v>
      </c>
      <c r="K19" s="44">
        <v>0.64064797030584597</v>
      </c>
      <c r="L19" s="14">
        <v>6.4818483869033994E-2</v>
      </c>
      <c r="M19" s="14">
        <v>8.8435996896485958E-2</v>
      </c>
      <c r="N19" s="14">
        <v>0.16368719816995769</v>
      </c>
      <c r="O19" s="44">
        <v>0.73294231018737555</v>
      </c>
      <c r="P19" s="14">
        <v>8.8577705910018567E-2</v>
      </c>
      <c r="Q19" s="14">
        <v>7.5122503289596701E-2</v>
      </c>
      <c r="R19" s="14">
        <v>0.11557714958774995</v>
      </c>
      <c r="S19" s="44">
        <v>1.1791101471759022</v>
      </c>
      <c r="T19" s="14">
        <v>0.11416548895059409</v>
      </c>
      <c r="U19" s="14">
        <v>7.2043451886468005E-2</v>
      </c>
      <c r="V19" s="14">
        <v>6.4341347781916636E-2</v>
      </c>
      <c r="W19" s="44">
        <v>1.5846754418500859</v>
      </c>
      <c r="X19" s="31" t="s">
        <v>106</v>
      </c>
      <c r="Y19" s="33">
        <v>8</v>
      </c>
      <c r="Z19" s="33" t="s">
        <v>108</v>
      </c>
      <c r="AA19" s="47" t="s">
        <v>108</v>
      </c>
      <c r="AB19" s="47" t="s">
        <v>108</v>
      </c>
      <c r="AC19" s="47" t="s">
        <v>108</v>
      </c>
      <c r="AD19" s="47" t="s">
        <v>108</v>
      </c>
      <c r="AE19" s="47" t="s">
        <v>54</v>
      </c>
      <c r="AF19" s="8"/>
    </row>
    <row r="20" spans="1:32" ht="21.75" customHeight="1" x14ac:dyDescent="0.35">
      <c r="A20" s="12"/>
      <c r="B20" s="13"/>
      <c r="C20" s="21"/>
      <c r="D20" s="21"/>
      <c r="E20" s="21"/>
      <c r="F20" s="21"/>
      <c r="G20" s="24"/>
      <c r="H20" s="21"/>
      <c r="I20" s="21"/>
      <c r="J20" s="21"/>
      <c r="K20" s="24"/>
      <c r="L20" s="21"/>
      <c r="M20" s="21"/>
      <c r="N20" s="21"/>
      <c r="O20" s="24"/>
      <c r="P20" s="21"/>
      <c r="Q20" s="21"/>
      <c r="R20" s="21"/>
      <c r="S20" s="24"/>
      <c r="T20" s="21"/>
      <c r="U20" s="21"/>
      <c r="V20" s="21"/>
      <c r="W20" s="24"/>
      <c r="X20" s="16"/>
      <c r="Y20" s="28"/>
      <c r="Z20" s="15"/>
      <c r="AA20" s="15"/>
      <c r="AB20" s="15"/>
      <c r="AC20" s="15"/>
      <c r="AD20" s="8"/>
      <c r="AE20" s="8"/>
      <c r="AF20" s="8"/>
    </row>
    <row r="21" spans="1:32" x14ac:dyDescent="0.35">
      <c r="A21" s="36" t="s">
        <v>2</v>
      </c>
      <c r="B21" s="36" t="s">
        <v>3</v>
      </c>
      <c r="C21" s="37">
        <f>AVERAGE(Table916[Performance annualisée depuis 01/08])</f>
        <v>4.578000861183984E-2</v>
      </c>
      <c r="D21" s="37">
        <f>AVERAGE(Table916[Perf. Totale depuis 01/08])</f>
        <v>1.3409076083263789</v>
      </c>
      <c r="E21" s="37">
        <f>AVERAGE(Table916[Volatilité annualisée depuis 01/08])</f>
        <v>0.1060357674625137</v>
      </c>
      <c r="F21" s="37">
        <f>AVERAGE(Table916[Max Drawdown depuis 01/08])</f>
        <v>0.28072273971289297</v>
      </c>
      <c r="G21" s="42">
        <f>AVERAGE(Table916[Couple Rendement / Risque depuis 01/08])</f>
        <v>0.4512344295797252</v>
      </c>
      <c r="H21" s="37">
        <f>AVERAGE(Table916[Performance annualisée 10 ans])</f>
        <v>4.9973132297796069E-2</v>
      </c>
      <c r="I21" s="37">
        <f>AVERAGE(Table916[Volatilité annualisée 10 ans])</f>
        <v>8.270501218202117E-2</v>
      </c>
      <c r="J21" s="37">
        <f>AVERAGE(Table916[Max Drawdown 10 ans])</f>
        <v>0.21721126049317638</v>
      </c>
      <c r="K21" s="42">
        <f>AVERAGE(Table916[Couple Rendement Risque 10 ans])</f>
        <v>0.59769894306251481</v>
      </c>
      <c r="L21" s="37">
        <f>AVERAGE(Table916[Performance annualisée 5 ans])</f>
        <v>4.6602934660031681E-2</v>
      </c>
      <c r="M21" s="37">
        <f>AVERAGE(Table916[Volatilité annualisée 5 ans])</f>
        <v>7.8887116200264368E-2</v>
      </c>
      <c r="N21" s="37">
        <f>AVERAGE(Table916[Max Drawdown 5 ans])</f>
        <v>0.16773557660258648</v>
      </c>
      <c r="O21" s="42">
        <f>AVERAGE(Table916[Couple Rendement Risque 5 ans])</f>
        <v>0.55769566641793566</v>
      </c>
      <c r="P21" s="37">
        <f>AVERAGE(Table916[Performance annualisée 3 ans])</f>
        <v>9.2132212577242495E-2</v>
      </c>
      <c r="Q21" s="37">
        <f>AVERAGE(Table916[Volatilité annualisée 3 ans])</f>
        <v>7.5127334874560261E-2</v>
      </c>
      <c r="R21" s="37">
        <f>AVERAGE(Table916[Max Drawdown 3 ans])</f>
        <v>0.10428981952169449</v>
      </c>
      <c r="S21" s="42">
        <f>AVERAGE(Table916[Couple Rendement Risque 3 ans])</f>
        <v>1.2914359776030284</v>
      </c>
      <c r="T21" s="37">
        <f>AVERAGE(Table916[Performance annualisée 1 an])</f>
        <v>0.12074146385987422</v>
      </c>
      <c r="U21" s="37">
        <f>AVERAGE(Table916[Volatilité annualisée 1 an])</f>
        <v>7.7772499193281441E-2</v>
      </c>
      <c r="V21" s="37">
        <f>AVERAGE(Table916[Max Drawdown 1 an])</f>
        <v>6.7766939355424757E-2</v>
      </c>
      <c r="W21" s="42">
        <f>AVERAGE(Table916[Couple Rendement Risque 1 an])</f>
        <v>1.5765738930095106</v>
      </c>
      <c r="X21" s="38"/>
      <c r="Y21" s="37"/>
      <c r="Z21" s="37"/>
      <c r="AA21" s="37"/>
      <c r="AB21" s="37"/>
      <c r="AC21" s="37"/>
      <c r="AD21" s="37"/>
      <c r="AE21" s="37"/>
      <c r="AF21" s="8"/>
    </row>
    <row r="22" spans="1:32" x14ac:dyDescent="0.35">
      <c r="A22" s="7"/>
      <c r="AD22" s="1"/>
      <c r="AE22" s="1"/>
      <c r="AF22" s="8"/>
    </row>
    <row r="23" spans="1:32" x14ac:dyDescent="0.35">
      <c r="E23" s="2"/>
      <c r="F23" s="2"/>
      <c r="AF23" s="8"/>
    </row>
    <row r="24" spans="1:32" x14ac:dyDescent="0.35">
      <c r="E24" s="2"/>
      <c r="F24" s="2"/>
      <c r="AF24" s="8"/>
    </row>
    <row r="25" spans="1:32" x14ac:dyDescent="0.35">
      <c r="E25" s="2"/>
      <c r="F25" s="2"/>
      <c r="AF25" s="8"/>
    </row>
    <row r="26" spans="1:32" x14ac:dyDescent="0.35">
      <c r="E26" s="2"/>
      <c r="F26" s="2"/>
      <c r="AB26" s="6"/>
    </row>
    <row r="27" spans="1:32" x14ac:dyDescent="0.35">
      <c r="E27" s="2"/>
      <c r="F27" s="2"/>
    </row>
    <row r="28" spans="1:32" x14ac:dyDescent="0.35">
      <c r="E28" s="2"/>
      <c r="F28" s="2"/>
    </row>
    <row r="29" spans="1:32" x14ac:dyDescent="0.35">
      <c r="E29" s="2"/>
      <c r="F29" s="2"/>
    </row>
    <row r="30" spans="1:32" x14ac:dyDescent="0.35">
      <c r="E30" s="2"/>
      <c r="F30" s="2"/>
    </row>
    <row r="31" spans="1:32" x14ac:dyDescent="0.35">
      <c r="E31" s="2"/>
      <c r="F31" s="2"/>
    </row>
    <row r="32" spans="1:32" x14ac:dyDescent="0.35">
      <c r="E32" s="2"/>
      <c r="F32" s="2"/>
    </row>
    <row r="33" spans="5:6" x14ac:dyDescent="0.35">
      <c r="E33" s="2"/>
      <c r="F33" s="2"/>
    </row>
    <row r="34" spans="5:6" x14ac:dyDescent="0.35">
      <c r="E34" s="2"/>
      <c r="F34" s="2"/>
    </row>
    <row r="35" spans="5:6" x14ac:dyDescent="0.35">
      <c r="E35" s="2"/>
      <c r="F35" s="2"/>
    </row>
    <row r="36" spans="5:6" x14ac:dyDescent="0.35">
      <c r="E36" s="2"/>
      <c r="F36" s="2"/>
    </row>
    <row r="37" spans="5:6" x14ac:dyDescent="0.35">
      <c r="E37" s="2"/>
      <c r="F37" s="2"/>
    </row>
    <row r="38" spans="5:6" x14ac:dyDescent="0.35">
      <c r="E38" s="2"/>
      <c r="F38" s="2"/>
    </row>
    <row r="39" spans="5:6" x14ac:dyDescent="0.35">
      <c r="E39" s="2"/>
      <c r="F39" s="2"/>
    </row>
    <row r="40" spans="5:6" x14ac:dyDescent="0.35">
      <c r="E40" s="2"/>
      <c r="F40" s="2"/>
    </row>
    <row r="41" spans="5:6" x14ac:dyDescent="0.35">
      <c r="E41" s="2"/>
      <c r="F41" s="2"/>
    </row>
    <row r="42" spans="5:6" x14ac:dyDescent="0.35">
      <c r="E42" s="2"/>
      <c r="F42" s="2"/>
    </row>
    <row r="43" spans="5:6" x14ac:dyDescent="0.35">
      <c r="E43" s="2"/>
      <c r="F43" s="2"/>
    </row>
    <row r="44" spans="5:6" x14ac:dyDescent="0.35">
      <c r="E44" s="2"/>
      <c r="F44" s="2"/>
    </row>
    <row r="45" spans="5:6" x14ac:dyDescent="0.35">
      <c r="E45" s="2"/>
      <c r="F45" s="2"/>
    </row>
    <row r="46" spans="5:6" x14ac:dyDescent="0.35">
      <c r="E46" s="2"/>
      <c r="F46" s="2"/>
    </row>
    <row r="47" spans="5:6" x14ac:dyDescent="0.35">
      <c r="E47" s="2"/>
      <c r="F47" s="2"/>
    </row>
    <row r="48" spans="5:6" x14ac:dyDescent="0.35">
      <c r="E48" s="2"/>
      <c r="F48" s="2"/>
    </row>
    <row r="49" spans="5:6" x14ac:dyDescent="0.35">
      <c r="E49" s="2"/>
      <c r="F49" s="2"/>
    </row>
  </sheetData>
  <sheetProtection selectLockedCells="1"/>
  <phoneticPr fontId="22" type="noConversion"/>
  <conditionalFormatting sqref="C4:C20">
    <cfRule type="iconSet" priority="453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20">
    <cfRule type="iconSet" priority="453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20">
    <cfRule type="iconSet" priority="454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20">
    <cfRule type="iconSet" priority="454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20">
    <cfRule type="iconSet" priority="454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9:X29">
    <cfRule type="iconSet" priority="6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20">
    <cfRule type="iconSet" priority="454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9">
    <cfRule type="iconSet" priority="454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20">
    <cfRule type="iconSet" priority="1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20">
    <cfRule type="iconSet" priority="454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9">
    <cfRule type="iconSet" priority="455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20">
    <cfRule type="iconSet" priority="1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20">
    <cfRule type="iconSet" priority="455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20">
    <cfRule type="iconSet" priority="4554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20">
    <cfRule type="iconSet" priority="455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9">
    <cfRule type="iconSet" priority="455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20">
    <cfRule type="iconSet" priority="1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20">
    <cfRule type="iconSet" priority="455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20">
    <cfRule type="iconSet" priority="456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20">
    <cfRule type="iconSet" priority="456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9">
    <cfRule type="iconSet" priority="456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20">
    <cfRule type="iconSet" priority="2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20">
    <cfRule type="iconSet" priority="456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20">
    <cfRule type="iconSet" priority="456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20">
    <cfRule type="iconSet" priority="457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9">
    <cfRule type="iconSet" priority="457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20">
    <cfRule type="iconSet" priority="2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tabColor rgb="FF008000"/>
    <pageSetUpPr fitToPage="1"/>
  </sheetPr>
  <dimension ref="A1:AE53"/>
  <sheetViews>
    <sheetView showGridLines="0" zoomScale="70" zoomScaleNormal="70" workbookViewId="0">
      <pane xSplit="1" topLeftCell="B1" activePane="topRight" state="frozen"/>
      <selection pane="topRight" activeCell="B1" sqref="B1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18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8" customFormat="1" ht="21.5" customHeight="1" x14ac:dyDescent="0.35">
      <c r="A4" s="12" t="s">
        <v>47</v>
      </c>
      <c r="B4" s="13" t="s">
        <v>76</v>
      </c>
      <c r="C4" s="21">
        <v>7.99837822926317E-2</v>
      </c>
      <c r="D4" s="21">
        <v>3.1506479539461107</v>
      </c>
      <c r="E4" s="21">
        <v>0.19506223957329979</v>
      </c>
      <c r="F4" s="21">
        <v>0.46899665227335613</v>
      </c>
      <c r="G4" s="41">
        <v>0.41004236631137253</v>
      </c>
      <c r="H4" s="21">
        <v>6.6393319967662956E-2</v>
      </c>
      <c r="I4" s="21">
        <v>0.19134951896452559</v>
      </c>
      <c r="J4" s="21">
        <v>0.40350041852830226</v>
      </c>
      <c r="K4" s="41">
        <v>0.34697406257902147</v>
      </c>
      <c r="L4" s="21">
        <v>-4.607879768787182E-3</v>
      </c>
      <c r="M4" s="21">
        <v>0.21097185992210998</v>
      </c>
      <c r="N4" s="21">
        <v>0.40350041852830226</v>
      </c>
      <c r="O4" s="41">
        <v>-2.1841205601962243E-2</v>
      </c>
      <c r="P4" s="21">
        <v>2.5046968023430871E-2</v>
      </c>
      <c r="Q4" s="21">
        <v>0.18345527963370642</v>
      </c>
      <c r="R4" s="21">
        <v>0.23715069801857325</v>
      </c>
      <c r="S4" s="41">
        <v>0.13652901172122478</v>
      </c>
      <c r="T4" s="21">
        <v>1.7975113996779202E-2</v>
      </c>
      <c r="U4" s="21">
        <v>0.18115050852147768</v>
      </c>
      <c r="V4" s="21">
        <v>0.14607019972770213</v>
      </c>
      <c r="W4" s="41">
        <v>9.9227510557322138E-2</v>
      </c>
      <c r="X4" s="31">
        <v>41640</v>
      </c>
      <c r="Y4" s="28">
        <v>8</v>
      </c>
      <c r="Z4" s="33" t="s">
        <v>108</v>
      </c>
      <c r="AA4" s="33" t="s">
        <v>106</v>
      </c>
      <c r="AB4" s="33" t="s">
        <v>108</v>
      </c>
      <c r="AC4" s="8" t="s">
        <v>108</v>
      </c>
      <c r="AD4" s="8" t="s">
        <v>106</v>
      </c>
      <c r="AE4" s="8" t="s">
        <v>33</v>
      </c>
    </row>
    <row r="5" spans="1:31" s="8" customFormat="1" ht="21.75" customHeight="1" x14ac:dyDescent="0.35">
      <c r="A5" s="12" t="s">
        <v>68</v>
      </c>
      <c r="B5" s="13" t="s">
        <v>179</v>
      </c>
      <c r="C5" s="14">
        <v>4.6893324851955853E-2</v>
      </c>
      <c r="D5" s="14">
        <v>1.3341763614904738</v>
      </c>
      <c r="E5" s="14">
        <v>0.21918465503094658</v>
      </c>
      <c r="F5" s="14">
        <v>0.5906817287697409</v>
      </c>
      <c r="G5" s="44">
        <v>0.21394437874921038</v>
      </c>
      <c r="H5" s="14">
        <v>0.10922149305412154</v>
      </c>
      <c r="I5" s="14">
        <v>0.17059929368860452</v>
      </c>
      <c r="J5" s="14">
        <v>0.37069198236299822</v>
      </c>
      <c r="K5" s="44">
        <v>0.64022242233595594</v>
      </c>
      <c r="L5" s="14">
        <v>0.11071280908644554</v>
      </c>
      <c r="M5" s="14">
        <v>0.16822857823158879</v>
      </c>
      <c r="N5" s="14">
        <v>0.23387825824920908</v>
      </c>
      <c r="O5" s="44">
        <v>0.65810940239912619</v>
      </c>
      <c r="P5" s="14">
        <v>0.16039391502839195</v>
      </c>
      <c r="Q5" s="14">
        <v>0.14812621184024005</v>
      </c>
      <c r="R5" s="14">
        <v>0.15412026726057901</v>
      </c>
      <c r="S5" s="44">
        <v>1.0828192595742818</v>
      </c>
      <c r="T5" s="14">
        <v>0.232433581369617</v>
      </c>
      <c r="U5" s="14">
        <v>0.15643218322982055</v>
      </c>
      <c r="V5" s="14">
        <v>0.11535042040287556</v>
      </c>
      <c r="W5" s="44">
        <v>1.485842469053442</v>
      </c>
      <c r="X5" s="31">
        <v>45838</v>
      </c>
      <c r="Y5" s="28">
        <v>8</v>
      </c>
      <c r="Z5" s="33" t="s">
        <v>108</v>
      </c>
      <c r="AA5" s="33" t="s">
        <v>108</v>
      </c>
      <c r="AB5" s="33" t="s">
        <v>108</v>
      </c>
      <c r="AC5" s="8" t="s">
        <v>107</v>
      </c>
      <c r="AD5" s="8" t="s">
        <v>108</v>
      </c>
      <c r="AE5" s="8" t="s">
        <v>31</v>
      </c>
    </row>
    <row r="6" spans="1:31" s="8" customFormat="1" ht="21.75" customHeight="1" x14ac:dyDescent="0.35">
      <c r="A6" s="12" t="s">
        <v>241</v>
      </c>
      <c r="B6" s="13" t="s">
        <v>242</v>
      </c>
      <c r="C6" s="14">
        <v>6.1910436742016461E-2</v>
      </c>
      <c r="D6" s="14">
        <v>2.0377050073996021</v>
      </c>
      <c r="E6" s="14">
        <v>0.17737560080516149</v>
      </c>
      <c r="F6" s="14">
        <v>0.47218957353294738</v>
      </c>
      <c r="G6" s="44">
        <v>0.34903581135729078</v>
      </c>
      <c r="H6" s="14">
        <v>9.0697376090264514E-2</v>
      </c>
      <c r="I6" s="14">
        <v>0.14894850636777535</v>
      </c>
      <c r="J6" s="14">
        <v>0.34958582363426655</v>
      </c>
      <c r="K6" s="44">
        <v>0.60891766088825094</v>
      </c>
      <c r="L6" s="14">
        <v>8.2595210751916337E-2</v>
      </c>
      <c r="M6" s="14">
        <v>0.13830771050132346</v>
      </c>
      <c r="N6" s="14">
        <v>0.17576352971770345</v>
      </c>
      <c r="O6" s="44">
        <v>0.59718442632398283</v>
      </c>
      <c r="P6" s="14">
        <v>0.10308598228882837</v>
      </c>
      <c r="Q6" s="14">
        <v>0.11887171286247326</v>
      </c>
      <c r="R6" s="14">
        <v>0.17297442667840204</v>
      </c>
      <c r="S6" s="44">
        <v>0.86720364169474073</v>
      </c>
      <c r="T6" s="14">
        <v>0.19371365004033825</v>
      </c>
      <c r="U6" s="14">
        <v>0.11222048776976706</v>
      </c>
      <c r="V6" s="14">
        <v>0.11625013884260799</v>
      </c>
      <c r="W6" s="44">
        <v>1.7261879171097845</v>
      </c>
      <c r="X6" s="31" t="s">
        <v>106</v>
      </c>
      <c r="Y6" s="28">
        <v>8</v>
      </c>
      <c r="Z6" s="33" t="s">
        <v>108</v>
      </c>
      <c r="AA6" s="33" t="s">
        <v>108</v>
      </c>
      <c r="AB6" s="33" t="s">
        <v>108</v>
      </c>
      <c r="AC6" s="8" t="s">
        <v>108</v>
      </c>
      <c r="AD6" s="8" t="s">
        <v>108</v>
      </c>
      <c r="AE6" s="8" t="s">
        <v>33</v>
      </c>
    </row>
    <row r="7" spans="1:31" s="8" customFormat="1" ht="21.75" customHeight="1" x14ac:dyDescent="0.35">
      <c r="A7" s="12" t="s">
        <v>27</v>
      </c>
      <c r="B7" s="13" t="s">
        <v>222</v>
      </c>
      <c r="C7" s="14">
        <v>5.3197229425634207E-2</v>
      </c>
      <c r="D7" s="14">
        <v>1.608316361487991</v>
      </c>
      <c r="E7" s="14">
        <v>0.2058268174179757</v>
      </c>
      <c r="F7" s="14">
        <v>0.55992213095831511</v>
      </c>
      <c r="G7" s="44">
        <v>0.25845625994209381</v>
      </c>
      <c r="H7" s="14">
        <v>0.10119266392019921</v>
      </c>
      <c r="I7" s="14">
        <v>0.16792950761991599</v>
      </c>
      <c r="J7" s="14">
        <v>0.35080036220204691</v>
      </c>
      <c r="K7" s="44">
        <v>0.60259013055188659</v>
      </c>
      <c r="L7" s="14">
        <v>0.11033235495370342</v>
      </c>
      <c r="M7" s="14">
        <v>0.16727726518492816</v>
      </c>
      <c r="N7" s="14">
        <v>0.26540025536166567</v>
      </c>
      <c r="O7" s="44">
        <v>0.65957770669988491</v>
      </c>
      <c r="P7" s="14">
        <v>0.15370572031614671</v>
      </c>
      <c r="Q7" s="14">
        <v>0.14739619429178197</v>
      </c>
      <c r="R7" s="14">
        <v>0.13982506575325701</v>
      </c>
      <c r="S7" s="44">
        <v>1.0428065734985976</v>
      </c>
      <c r="T7" s="14">
        <v>0.19998519969664041</v>
      </c>
      <c r="U7" s="14">
        <v>0.1559077888221552</v>
      </c>
      <c r="V7" s="14">
        <v>0.11653883087505579</v>
      </c>
      <c r="W7" s="44">
        <v>1.2827146174509891</v>
      </c>
      <c r="X7" s="31">
        <v>41640</v>
      </c>
      <c r="Y7" s="28">
        <v>8</v>
      </c>
      <c r="Z7" s="15" t="s">
        <v>107</v>
      </c>
      <c r="AA7" s="15" t="s">
        <v>108</v>
      </c>
      <c r="AB7" s="15" t="s">
        <v>108</v>
      </c>
      <c r="AC7" s="8" t="s">
        <v>107</v>
      </c>
      <c r="AD7" s="8" t="s">
        <v>108</v>
      </c>
      <c r="AE7" s="8" t="s">
        <v>31</v>
      </c>
    </row>
    <row r="8" spans="1:31" s="8" customFormat="1" ht="21.75" customHeight="1" x14ac:dyDescent="0.35">
      <c r="A8" s="12" t="s">
        <v>34</v>
      </c>
      <c r="B8" s="13" t="s">
        <v>180</v>
      </c>
      <c r="C8" s="14">
        <v>4.3220697028024002E-2</v>
      </c>
      <c r="D8" s="14">
        <v>1.1872730473048105</v>
      </c>
      <c r="E8" s="14">
        <v>0.15763608781385682</v>
      </c>
      <c r="F8" s="14">
        <v>0.45844028847329177</v>
      </c>
      <c r="G8" s="44">
        <v>0.27418021867594672</v>
      </c>
      <c r="H8" s="14">
        <v>8.2251488600681988E-2</v>
      </c>
      <c r="I8" s="14">
        <v>0.16108476020217138</v>
      </c>
      <c r="J8" s="14">
        <v>0.30351233671988398</v>
      </c>
      <c r="K8" s="44">
        <v>0.51060999499549964</v>
      </c>
      <c r="L8" s="14">
        <v>2.5516410021722224E-2</v>
      </c>
      <c r="M8" s="14">
        <v>0.17059918206546831</v>
      </c>
      <c r="N8" s="14">
        <v>0.29047345894188681</v>
      </c>
      <c r="O8" s="44">
        <v>0.14956935732511409</v>
      </c>
      <c r="P8" s="14">
        <v>4.7667897646517243E-2</v>
      </c>
      <c r="Q8" s="14">
        <v>0.1503771723290222</v>
      </c>
      <c r="R8" s="14">
        <v>0.20743108270075383</v>
      </c>
      <c r="S8" s="44">
        <v>0.31698892131194523</v>
      </c>
      <c r="T8" s="14">
        <v>2.4089698043188168E-2</v>
      </c>
      <c r="U8" s="14">
        <v>0.14779243268603201</v>
      </c>
      <c r="V8" s="14">
        <v>0.14883603664173381</v>
      </c>
      <c r="W8" s="44">
        <v>0.16299683011757413</v>
      </c>
      <c r="X8" s="31">
        <v>43281</v>
      </c>
      <c r="Y8" s="28">
        <v>9</v>
      </c>
      <c r="Z8" s="33" t="s">
        <v>107</v>
      </c>
      <c r="AA8" s="33" t="s">
        <v>106</v>
      </c>
      <c r="AB8" s="33" t="s">
        <v>108</v>
      </c>
      <c r="AC8" s="8" t="s">
        <v>108</v>
      </c>
      <c r="AD8" s="8" t="s">
        <v>106</v>
      </c>
      <c r="AE8" s="8" t="s">
        <v>33</v>
      </c>
    </row>
    <row r="9" spans="1:31" s="8" customFormat="1" ht="21.75" customHeight="1" x14ac:dyDescent="0.35">
      <c r="A9" s="12" t="s">
        <v>75</v>
      </c>
      <c r="B9" s="13" t="s">
        <v>77</v>
      </c>
      <c r="C9" s="14">
        <v>6.6945987223804959E-2</v>
      </c>
      <c r="D9" s="14">
        <v>2.3154948296428399</v>
      </c>
      <c r="E9" s="14">
        <v>0.13141293046515293</v>
      </c>
      <c r="F9" s="14">
        <v>0.36820000000000003</v>
      </c>
      <c r="G9" s="44">
        <v>0.50943226809447939</v>
      </c>
      <c r="H9" s="14">
        <v>6.4518956847402054E-2</v>
      </c>
      <c r="I9" s="14">
        <v>0.13021129306314794</v>
      </c>
      <c r="J9" s="14">
        <v>0.28171575269200599</v>
      </c>
      <c r="K9" s="44">
        <v>0.49549432564280432</v>
      </c>
      <c r="L9" s="14">
        <v>2.3387529417475683E-3</v>
      </c>
      <c r="M9" s="14">
        <v>0.13921772261015455</v>
      </c>
      <c r="N9" s="14">
        <v>0.27735952275509945</v>
      </c>
      <c r="O9" s="44">
        <v>1.6799247235904573E-2</v>
      </c>
      <c r="P9" s="14">
        <v>-3.0026159525929685E-2</v>
      </c>
      <c r="Q9" s="14">
        <v>0.12136337088567237</v>
      </c>
      <c r="R9" s="14">
        <v>0.27653043741235489</v>
      </c>
      <c r="S9" s="44">
        <v>-0.24740709908441116</v>
      </c>
      <c r="T9" s="14">
        <v>-7.3421377361367335E-2</v>
      </c>
      <c r="U9" s="14">
        <v>0.12198053772952029</v>
      </c>
      <c r="V9" s="14">
        <v>0.17938470815900467</v>
      </c>
      <c r="W9" s="44">
        <v>-0.6019105894103528</v>
      </c>
      <c r="X9" s="31">
        <v>44742</v>
      </c>
      <c r="Y9" s="28">
        <v>8</v>
      </c>
      <c r="Z9" s="33" t="s">
        <v>108</v>
      </c>
      <c r="AA9" s="33" t="s">
        <v>106</v>
      </c>
      <c r="AB9" s="33" t="s">
        <v>108</v>
      </c>
      <c r="AC9" s="8" t="s">
        <v>108</v>
      </c>
      <c r="AD9" s="8" t="s">
        <v>106</v>
      </c>
      <c r="AE9" s="8" t="s">
        <v>33</v>
      </c>
    </row>
    <row r="10" spans="1:31" s="8" customFormat="1" ht="21.75" customHeight="1" x14ac:dyDescent="0.35">
      <c r="A10" s="12" t="s">
        <v>131</v>
      </c>
      <c r="B10" s="13" t="s">
        <v>181</v>
      </c>
      <c r="C10" s="14">
        <v>7.6472289453155096E-2</v>
      </c>
      <c r="D10" s="14">
        <v>2.9079971691436657</v>
      </c>
      <c r="E10" s="14">
        <v>0.19158862142890773</v>
      </c>
      <c r="F10" s="14">
        <v>0.47542134831460675</v>
      </c>
      <c r="G10" s="44">
        <v>0.39914838826444327</v>
      </c>
      <c r="H10" s="14">
        <v>0.11789354016711373</v>
      </c>
      <c r="I10" s="14">
        <v>0.15915997643973401</v>
      </c>
      <c r="J10" s="14">
        <v>0.341540626099191</v>
      </c>
      <c r="K10" s="44">
        <v>0.74072353366899479</v>
      </c>
      <c r="L10" s="14">
        <v>0.10382232338097164</v>
      </c>
      <c r="M10" s="14">
        <v>0.16037423804921452</v>
      </c>
      <c r="N10" s="14">
        <v>0.2566844919786096</v>
      </c>
      <c r="O10" s="44">
        <v>0.64737531815497307</v>
      </c>
      <c r="P10" s="14">
        <v>0.17391724701180289</v>
      </c>
      <c r="Q10" s="14">
        <v>0.1486596334017686</v>
      </c>
      <c r="R10" s="14">
        <v>0.15427180168216023</v>
      </c>
      <c r="S10" s="44">
        <v>1.1699022998514526</v>
      </c>
      <c r="T10" s="14">
        <v>0.21192155245750177</v>
      </c>
      <c r="U10" s="14">
        <v>0.1539435484989175</v>
      </c>
      <c r="V10" s="14">
        <v>0.11041784836453022</v>
      </c>
      <c r="W10" s="44">
        <v>1.3766186015842812</v>
      </c>
      <c r="X10" s="31">
        <v>45838</v>
      </c>
      <c r="Y10" s="28">
        <v>8</v>
      </c>
      <c r="Z10" s="33" t="s">
        <v>32</v>
      </c>
      <c r="AA10" s="33" t="s">
        <v>32</v>
      </c>
      <c r="AB10" s="33" t="s">
        <v>32</v>
      </c>
      <c r="AC10" s="8" t="s">
        <v>32</v>
      </c>
      <c r="AD10" s="8" t="s">
        <v>32</v>
      </c>
      <c r="AE10" s="8" t="s">
        <v>33</v>
      </c>
    </row>
    <row r="11" spans="1:31" s="8" customFormat="1" ht="21.75" customHeight="1" x14ac:dyDescent="0.35">
      <c r="A11" s="12" t="s">
        <v>35</v>
      </c>
      <c r="B11" s="13" t="s">
        <v>38</v>
      </c>
      <c r="C11" s="14">
        <v>7.1685033088284777E-2</v>
      </c>
      <c r="D11" s="14">
        <v>2.5987357013847081</v>
      </c>
      <c r="E11" s="14">
        <v>0.17251926523862904</v>
      </c>
      <c r="F11" s="14">
        <v>0.43792039650027814</v>
      </c>
      <c r="G11" s="44">
        <v>0.41551900298862204</v>
      </c>
      <c r="H11" s="14">
        <v>8.8916277803484434E-2</v>
      </c>
      <c r="I11" s="14">
        <v>0.15694147914439377</v>
      </c>
      <c r="J11" s="14">
        <v>0.43792039650027814</v>
      </c>
      <c r="K11" s="44">
        <v>0.56655689935021669</v>
      </c>
      <c r="L11" s="14">
        <v>0.13461564087620181</v>
      </c>
      <c r="M11" s="14">
        <v>0.14403797250774833</v>
      </c>
      <c r="N11" s="14">
        <v>0.19925654100938855</v>
      </c>
      <c r="O11" s="44">
        <v>0.93458439141081595</v>
      </c>
      <c r="P11" s="14">
        <v>0.18195362793787928</v>
      </c>
      <c r="Q11" s="14">
        <v>0.1210802106888527</v>
      </c>
      <c r="R11" s="14">
        <v>0.14682553191489361</v>
      </c>
      <c r="S11" s="44">
        <v>1.5027528190007593</v>
      </c>
      <c r="T11" s="14">
        <v>0.20760970791973943</v>
      </c>
      <c r="U11" s="14">
        <v>0.11133713405717453</v>
      </c>
      <c r="V11" s="14">
        <v>9.3688873547347812E-2</v>
      </c>
      <c r="W11" s="44">
        <v>1.8646941981920102</v>
      </c>
      <c r="X11" s="31">
        <v>42005</v>
      </c>
      <c r="Y11" s="28">
        <v>8</v>
      </c>
      <c r="Z11" s="33" t="s">
        <v>108</v>
      </c>
      <c r="AA11" s="33" t="s">
        <v>108</v>
      </c>
      <c r="AB11" s="33" t="s">
        <v>108</v>
      </c>
      <c r="AC11" s="8" t="s">
        <v>108</v>
      </c>
      <c r="AD11" s="8" t="s">
        <v>108</v>
      </c>
      <c r="AE11" s="8" t="s">
        <v>33</v>
      </c>
    </row>
    <row r="12" spans="1:31" s="8" customFormat="1" ht="21.75" customHeight="1" x14ac:dyDescent="0.35">
      <c r="A12" s="12" t="s">
        <v>149</v>
      </c>
      <c r="B12" s="13" t="s">
        <v>182</v>
      </c>
      <c r="C12" s="14" t="s">
        <v>106</v>
      </c>
      <c r="D12" s="14" t="s">
        <v>106</v>
      </c>
      <c r="E12" s="14" t="s">
        <v>106</v>
      </c>
      <c r="F12" s="14" t="s">
        <v>106</v>
      </c>
      <c r="G12" s="44" t="s">
        <v>106</v>
      </c>
      <c r="H12" s="14">
        <v>6.8474087364814862E-2</v>
      </c>
      <c r="I12" s="14">
        <v>0.14054286685450765</v>
      </c>
      <c r="J12" s="14">
        <v>0.33637619658541396</v>
      </c>
      <c r="K12" s="44">
        <v>0.4872114031635657</v>
      </c>
      <c r="L12" s="14">
        <v>3.6939184641653355E-2</v>
      </c>
      <c r="M12" s="14">
        <v>0.1378475658362007</v>
      </c>
      <c r="N12" s="14">
        <v>0.26155597646489875</v>
      </c>
      <c r="O12" s="44">
        <v>0.26797125083475798</v>
      </c>
      <c r="P12" s="14">
        <v>7.9022200845426438E-2</v>
      </c>
      <c r="Q12" s="14">
        <v>0.12080813375498806</v>
      </c>
      <c r="R12" s="14">
        <v>0.15494689126635042</v>
      </c>
      <c r="S12" s="44">
        <v>0.6541132487460819</v>
      </c>
      <c r="T12" s="14">
        <v>8.6095432585783671E-2</v>
      </c>
      <c r="U12" s="14">
        <v>0.12477813906649242</v>
      </c>
      <c r="V12" s="14">
        <v>0.10328453796889295</v>
      </c>
      <c r="W12" s="44">
        <v>0.68998811193926124</v>
      </c>
      <c r="X12" s="31" t="s">
        <v>106</v>
      </c>
      <c r="Y12" s="28">
        <v>6</v>
      </c>
      <c r="Z12" s="33" t="s">
        <v>32</v>
      </c>
      <c r="AA12" s="33" t="s">
        <v>32</v>
      </c>
      <c r="AB12" s="33" t="s">
        <v>32</v>
      </c>
      <c r="AC12" s="8" t="s">
        <v>32</v>
      </c>
      <c r="AD12" s="8" t="s">
        <v>32</v>
      </c>
      <c r="AE12" s="8" t="s">
        <v>31</v>
      </c>
    </row>
    <row r="13" spans="1:31" s="8" customFormat="1" ht="21.75" customHeight="1" x14ac:dyDescent="0.35">
      <c r="A13" s="12" t="s">
        <v>48</v>
      </c>
      <c r="B13" s="13" t="s">
        <v>78</v>
      </c>
      <c r="C13" s="14">
        <v>5.5767220819604502E-2</v>
      </c>
      <c r="D13" s="14">
        <v>1.7285921625544267</v>
      </c>
      <c r="E13" s="14">
        <v>0.15942721347014138</v>
      </c>
      <c r="F13" s="14">
        <v>0.55784781256479377</v>
      </c>
      <c r="G13" s="44">
        <v>0.34979737527714466</v>
      </c>
      <c r="H13" s="14">
        <v>9.3280862789635099E-2</v>
      </c>
      <c r="I13" s="14">
        <v>0.14668538444735307</v>
      </c>
      <c r="J13" s="14">
        <v>0.33822629969418966</v>
      </c>
      <c r="K13" s="44">
        <v>0.63592472515974885</v>
      </c>
      <c r="L13" s="14">
        <v>6.6797588281808817E-2</v>
      </c>
      <c r="M13" s="14">
        <v>0.15374285339437663</v>
      </c>
      <c r="N13" s="14">
        <v>0.27259615384615382</v>
      </c>
      <c r="O13" s="44">
        <v>0.43447605405411344</v>
      </c>
      <c r="P13" s="14">
        <v>9.8213361025075274E-2</v>
      </c>
      <c r="Q13" s="14">
        <v>0.13465628422515402</v>
      </c>
      <c r="R13" s="14">
        <v>0.15834038950042345</v>
      </c>
      <c r="S13" s="44">
        <v>0.72936336829892157</v>
      </c>
      <c r="T13" s="14">
        <v>0.14644870281305189</v>
      </c>
      <c r="U13" s="14">
        <v>0.15195222910645748</v>
      </c>
      <c r="V13" s="14">
        <v>0.11480479319675309</v>
      </c>
      <c r="W13" s="44">
        <v>0.96378120725330174</v>
      </c>
      <c r="X13" s="31" t="s">
        <v>106</v>
      </c>
      <c r="Y13" s="28">
        <v>9</v>
      </c>
      <c r="Z13" s="33" t="s">
        <v>107</v>
      </c>
      <c r="AA13" s="33" t="s">
        <v>106</v>
      </c>
      <c r="AB13" s="33" t="s">
        <v>108</v>
      </c>
      <c r="AC13" s="8" t="s">
        <v>108</v>
      </c>
      <c r="AD13" s="8" t="s">
        <v>106</v>
      </c>
      <c r="AE13" s="8" t="s">
        <v>33</v>
      </c>
    </row>
    <row r="14" spans="1:31" s="8" customFormat="1" ht="21.75" customHeight="1" x14ac:dyDescent="0.35">
      <c r="A14" s="12" t="s">
        <v>74</v>
      </c>
      <c r="B14" s="13" t="s">
        <v>223</v>
      </c>
      <c r="C14" s="14">
        <v>4.8941597940127535E-2</v>
      </c>
      <c r="D14" s="14">
        <v>1.4201110425663166</v>
      </c>
      <c r="E14" s="14">
        <v>0.19031633925454436</v>
      </c>
      <c r="F14" s="14">
        <v>0.61334056399132331</v>
      </c>
      <c r="G14" s="44">
        <v>0.25715920205184856</v>
      </c>
      <c r="H14" s="14">
        <v>8.551911543456292E-2</v>
      </c>
      <c r="I14" s="14">
        <v>0.15918032945063923</v>
      </c>
      <c r="J14" s="14">
        <v>0.38464765100671139</v>
      </c>
      <c r="K14" s="44">
        <v>0.53724675485787232</v>
      </c>
      <c r="L14" s="14">
        <v>0.1135892763061821</v>
      </c>
      <c r="M14" s="14">
        <v>0.14692731692867811</v>
      </c>
      <c r="N14" s="14">
        <v>0.21928721174004193</v>
      </c>
      <c r="O14" s="44">
        <v>0.77309841818809599</v>
      </c>
      <c r="P14" s="14">
        <v>0.17306351881036242</v>
      </c>
      <c r="Q14" s="14">
        <v>0.1333435293755772</v>
      </c>
      <c r="R14" s="14">
        <v>0.13736098587315909</v>
      </c>
      <c r="S14" s="44">
        <v>1.2978771420014641</v>
      </c>
      <c r="T14" s="14">
        <v>0.18641034322415173</v>
      </c>
      <c r="U14" s="14">
        <v>0.13044906341470536</v>
      </c>
      <c r="V14" s="14">
        <v>9.9007314524555884E-2</v>
      </c>
      <c r="W14" s="44">
        <v>1.4289895101166201</v>
      </c>
      <c r="X14" s="31">
        <v>41640</v>
      </c>
      <c r="Y14" s="28">
        <v>8</v>
      </c>
      <c r="Z14" s="33" t="s">
        <v>108</v>
      </c>
      <c r="AA14" s="33" t="s">
        <v>108</v>
      </c>
      <c r="AB14" s="33" t="s">
        <v>108</v>
      </c>
      <c r="AC14" s="8" t="s">
        <v>108</v>
      </c>
      <c r="AD14" s="8" t="s">
        <v>108</v>
      </c>
      <c r="AE14" s="8" t="s">
        <v>33</v>
      </c>
    </row>
    <row r="15" spans="1:31" s="8" customFormat="1" ht="21.75" customHeight="1" x14ac:dyDescent="0.35">
      <c r="A15" s="12" t="s">
        <v>49</v>
      </c>
      <c r="B15" s="13" t="s">
        <v>114</v>
      </c>
      <c r="C15" s="14">
        <v>5.5929576033149075E-2</v>
      </c>
      <c r="D15" s="14">
        <v>1.7363639422349921</v>
      </c>
      <c r="E15" s="14">
        <v>0.19814624496925354</v>
      </c>
      <c r="F15" s="14">
        <v>0.48657280848329038</v>
      </c>
      <c r="G15" s="44">
        <v>0.28226412285444874</v>
      </c>
      <c r="H15" s="14">
        <v>0.10208236067480536</v>
      </c>
      <c r="I15" s="14">
        <v>0.16620810617352258</v>
      </c>
      <c r="J15" s="14">
        <v>0.35631185969786427</v>
      </c>
      <c r="K15" s="44">
        <v>0.61418400717610344</v>
      </c>
      <c r="L15" s="14">
        <v>9.6797945595878732E-2</v>
      </c>
      <c r="M15" s="14">
        <v>0.16636212623488916</v>
      </c>
      <c r="N15" s="14">
        <v>0.26619380900934753</v>
      </c>
      <c r="O15" s="44">
        <v>0.58185085624121125</v>
      </c>
      <c r="P15" s="14">
        <v>0.15071236061902127</v>
      </c>
      <c r="Q15" s="14">
        <v>0.14624438423936634</v>
      </c>
      <c r="R15" s="14">
        <v>0.15259079524107705</v>
      </c>
      <c r="S15" s="44">
        <v>1.0305514389690476</v>
      </c>
      <c r="T15" s="14">
        <v>0.21169695237199537</v>
      </c>
      <c r="U15" s="14">
        <v>0.15374720604665387</v>
      </c>
      <c r="V15" s="14">
        <v>0.10992907801418443</v>
      </c>
      <c r="W15" s="44">
        <v>1.3769157685230191</v>
      </c>
      <c r="X15" s="31">
        <v>43465</v>
      </c>
      <c r="Y15" s="28">
        <v>8</v>
      </c>
      <c r="Z15" s="33" t="s">
        <v>107</v>
      </c>
      <c r="AA15" s="33" t="s">
        <v>106</v>
      </c>
      <c r="AB15" s="33" t="s">
        <v>108</v>
      </c>
      <c r="AC15" s="8" t="s">
        <v>108</v>
      </c>
      <c r="AD15" s="8" t="s">
        <v>106</v>
      </c>
      <c r="AE15" s="8" t="s">
        <v>33</v>
      </c>
    </row>
    <row r="16" spans="1:31" s="8" customFormat="1" ht="21.75" customHeight="1" x14ac:dyDescent="0.35">
      <c r="A16" s="12" t="s">
        <v>243</v>
      </c>
      <c r="B16" s="13" t="s">
        <v>115</v>
      </c>
      <c r="C16" s="14">
        <v>5.8810296157227215E-2</v>
      </c>
      <c r="D16" s="14">
        <v>1.877792266696904</v>
      </c>
      <c r="E16" s="14">
        <v>0.20688014056679349</v>
      </c>
      <c r="F16" s="14">
        <v>0.57324714914756691</v>
      </c>
      <c r="G16" s="44">
        <v>0.28427231340864095</v>
      </c>
      <c r="H16" s="14">
        <v>0.10956204791824842</v>
      </c>
      <c r="I16" s="14">
        <v>0.16747194000743471</v>
      </c>
      <c r="J16" s="14">
        <v>0.42051042365770175</v>
      </c>
      <c r="K16" s="44">
        <v>0.6542113736389783</v>
      </c>
      <c r="L16" s="14">
        <v>0.13090446178219239</v>
      </c>
      <c r="M16" s="14">
        <v>0.15138094552562822</v>
      </c>
      <c r="N16" s="14">
        <v>0.24728114930182601</v>
      </c>
      <c r="O16" s="44">
        <v>0.86473539538059474</v>
      </c>
      <c r="P16" s="14">
        <v>0.20044239054296953</v>
      </c>
      <c r="Q16" s="14">
        <v>0.13251556703273104</v>
      </c>
      <c r="R16" s="14">
        <v>0.15112548252870098</v>
      </c>
      <c r="S16" s="44">
        <v>1.5125950485006845</v>
      </c>
      <c r="T16" s="14">
        <v>0.24371791960473899</v>
      </c>
      <c r="U16" s="14">
        <v>0.12958784473060103</v>
      </c>
      <c r="V16" s="14">
        <v>0.10218521952989562</v>
      </c>
      <c r="W16" s="44">
        <v>1.8807158967062221</v>
      </c>
      <c r="X16" s="31">
        <v>41640</v>
      </c>
      <c r="Y16" s="28">
        <v>8</v>
      </c>
      <c r="Z16" s="33" t="s">
        <v>108</v>
      </c>
      <c r="AA16" s="33" t="s">
        <v>106</v>
      </c>
      <c r="AB16" s="33" t="s">
        <v>108</v>
      </c>
      <c r="AC16" s="8" t="s">
        <v>108</v>
      </c>
      <c r="AD16" s="8" t="s">
        <v>106</v>
      </c>
      <c r="AE16" s="8" t="s">
        <v>33</v>
      </c>
    </row>
    <row r="17" spans="1:31" s="8" customFormat="1" ht="21.75" customHeight="1" x14ac:dyDescent="0.35">
      <c r="A17" s="12" t="s">
        <v>57</v>
      </c>
      <c r="B17" s="13" t="s">
        <v>79</v>
      </c>
      <c r="C17" s="14">
        <v>7.6781459986789757E-2</v>
      </c>
      <c r="D17" s="14">
        <v>2.9288104462819438</v>
      </c>
      <c r="E17" s="14">
        <v>0.17273945818792422</v>
      </c>
      <c r="F17" s="14">
        <v>0.47005055645008942</v>
      </c>
      <c r="G17" s="44">
        <v>0.44449288420980676</v>
      </c>
      <c r="H17" s="14">
        <v>8.1328443738068579E-2</v>
      </c>
      <c r="I17" s="14">
        <v>0.1578586205143446</v>
      </c>
      <c r="J17" s="14">
        <v>0.31344001539300315</v>
      </c>
      <c r="K17" s="44">
        <v>0.51519798838403175</v>
      </c>
      <c r="L17" s="14">
        <v>3.5943166969701901E-2</v>
      </c>
      <c r="M17" s="14">
        <v>0.15905241065472922</v>
      </c>
      <c r="N17" s="14">
        <v>0.27320091697526466</v>
      </c>
      <c r="O17" s="44">
        <v>0.22598316379955588</v>
      </c>
      <c r="P17" s="14">
        <v>5.6691334939007687E-2</v>
      </c>
      <c r="Q17" s="14">
        <v>0.14291893290819227</v>
      </c>
      <c r="R17" s="14">
        <v>0.21433612741224795</v>
      </c>
      <c r="S17" s="44">
        <v>0.39666777371913947</v>
      </c>
      <c r="T17" s="14">
        <v>6.607620793139235E-2</v>
      </c>
      <c r="U17" s="14">
        <v>0.15403943414502846</v>
      </c>
      <c r="V17" s="14">
        <v>0.12404749518009629</v>
      </c>
      <c r="W17" s="44">
        <v>0.42895644416079493</v>
      </c>
      <c r="X17" s="31">
        <v>43281</v>
      </c>
      <c r="Y17" s="28">
        <v>8</v>
      </c>
      <c r="Z17" s="33" t="s">
        <v>107</v>
      </c>
      <c r="AA17" s="33" t="s">
        <v>106</v>
      </c>
      <c r="AB17" s="33" t="s">
        <v>108</v>
      </c>
      <c r="AC17" s="8" t="s">
        <v>108</v>
      </c>
      <c r="AD17" s="8" t="s">
        <v>106</v>
      </c>
      <c r="AE17" s="8" t="s">
        <v>33</v>
      </c>
    </row>
    <row r="18" spans="1:31" s="8" customFormat="1" ht="21.75" customHeight="1" x14ac:dyDescent="0.35">
      <c r="A18" s="12" t="s">
        <v>58</v>
      </c>
      <c r="B18" s="13" t="s">
        <v>80</v>
      </c>
      <c r="C18" s="14">
        <v>5.7651979955607224E-2</v>
      </c>
      <c r="D18" s="14">
        <v>1.8201134315524912</v>
      </c>
      <c r="E18" s="14">
        <v>0.1994555536279202</v>
      </c>
      <c r="F18" s="14">
        <v>0.51518759197711528</v>
      </c>
      <c r="G18" s="44">
        <v>0.2890467520556268</v>
      </c>
      <c r="H18" s="14">
        <v>9.915834322006023E-2</v>
      </c>
      <c r="I18" s="14">
        <v>0.1652790244645623</v>
      </c>
      <c r="J18" s="14">
        <v>0.37353563503122256</v>
      </c>
      <c r="K18" s="44">
        <v>0.59994511427746777</v>
      </c>
      <c r="L18" s="14">
        <v>9.8807778784552713E-2</v>
      </c>
      <c r="M18" s="14">
        <v>0.15553621438356233</v>
      </c>
      <c r="N18" s="14">
        <v>0.21727897974701038</v>
      </c>
      <c r="O18" s="44">
        <v>0.63527185084295779</v>
      </c>
      <c r="P18" s="14">
        <v>0.12000962033115736</v>
      </c>
      <c r="Q18" s="14">
        <v>0.13487538766638651</v>
      </c>
      <c r="R18" s="14">
        <v>0.14906385494678753</v>
      </c>
      <c r="S18" s="44">
        <v>0.88978146723107454</v>
      </c>
      <c r="T18" s="14">
        <v>0.14393968855051376</v>
      </c>
      <c r="U18" s="14">
        <v>0.13849521665551659</v>
      </c>
      <c r="V18" s="14">
        <v>0.10830919503543965</v>
      </c>
      <c r="W18" s="44">
        <v>1.0393116240869125</v>
      </c>
      <c r="X18" s="31">
        <v>43830</v>
      </c>
      <c r="Y18" s="28">
        <v>8</v>
      </c>
      <c r="Z18" s="33" t="s">
        <v>107</v>
      </c>
      <c r="AA18" s="33" t="s">
        <v>106</v>
      </c>
      <c r="AB18" s="33" t="s">
        <v>108</v>
      </c>
      <c r="AC18" s="8" t="s">
        <v>108</v>
      </c>
      <c r="AD18" s="8" t="s">
        <v>106</v>
      </c>
      <c r="AE18" s="8" t="s">
        <v>33</v>
      </c>
    </row>
    <row r="19" spans="1:31" s="8" customFormat="1" ht="21.75" customHeight="1" x14ac:dyDescent="0.35">
      <c r="A19" s="12" t="s">
        <v>50</v>
      </c>
      <c r="B19" s="13" t="s">
        <v>183</v>
      </c>
      <c r="C19" s="14">
        <v>4.3077237764710175E-2</v>
      </c>
      <c r="D19" s="14">
        <v>1.1817161493477282</v>
      </c>
      <c r="E19" s="14">
        <v>0.20684308802728574</v>
      </c>
      <c r="F19" s="14">
        <v>0.55735492577597845</v>
      </c>
      <c r="G19" s="44">
        <v>0.20826046533896087</v>
      </c>
      <c r="H19" s="14">
        <v>8.5403304551801673E-2</v>
      </c>
      <c r="I19" s="14">
        <v>0.14872012243674052</v>
      </c>
      <c r="J19" s="14">
        <v>0.35562727050186899</v>
      </c>
      <c r="K19" s="44">
        <v>0.57425520603729174</v>
      </c>
      <c r="L19" s="14">
        <v>8.6247716579164635E-2</v>
      </c>
      <c r="M19" s="14">
        <v>0.14330501908516657</v>
      </c>
      <c r="N19" s="14">
        <v>0.24665655362341204</v>
      </c>
      <c r="O19" s="44">
        <v>0.60184714485057478</v>
      </c>
      <c r="P19" s="14">
        <v>0.14093945471674418</v>
      </c>
      <c r="Q19" s="14">
        <v>0.12659581270848885</v>
      </c>
      <c r="R19" s="14">
        <v>0.15735029960447158</v>
      </c>
      <c r="S19" s="44">
        <v>1.1133026575000891</v>
      </c>
      <c r="T19" s="14">
        <v>0.18079855053362981</v>
      </c>
      <c r="U19" s="14">
        <v>0.12506183119775324</v>
      </c>
      <c r="V19" s="14">
        <v>9.7370415026587762E-2</v>
      </c>
      <c r="W19" s="44">
        <v>1.4456733025741741</v>
      </c>
      <c r="X19" s="31">
        <v>42370</v>
      </c>
      <c r="Y19" s="28">
        <v>8</v>
      </c>
      <c r="Z19" s="33" t="s">
        <v>32</v>
      </c>
      <c r="AA19" s="33" t="s">
        <v>32</v>
      </c>
      <c r="AB19" s="33" t="s">
        <v>32</v>
      </c>
      <c r="AC19" s="8" t="s">
        <v>32</v>
      </c>
      <c r="AD19" s="8" t="s">
        <v>32</v>
      </c>
      <c r="AE19" s="8" t="s">
        <v>31</v>
      </c>
    </row>
    <row r="20" spans="1:31" s="8" customFormat="1" ht="21.75" customHeight="1" x14ac:dyDescent="0.35">
      <c r="A20" s="12" t="s">
        <v>59</v>
      </c>
      <c r="B20" s="13" t="s">
        <v>81</v>
      </c>
      <c r="C20" s="14">
        <v>5.9046260221181424E-2</v>
      </c>
      <c r="D20" s="14">
        <v>1.8896782060117694</v>
      </c>
      <c r="E20" s="14">
        <v>0.17434023815253583</v>
      </c>
      <c r="F20" s="14">
        <v>0.56168159889731217</v>
      </c>
      <c r="G20" s="44">
        <v>0.33868406311066279</v>
      </c>
      <c r="H20" s="14">
        <v>8.8970885312547487E-2</v>
      </c>
      <c r="I20" s="14">
        <v>0.13869094212113961</v>
      </c>
      <c r="J20" s="14">
        <v>0.32906086745231444</v>
      </c>
      <c r="K20" s="44">
        <v>0.64150465741905383</v>
      </c>
      <c r="L20" s="14">
        <v>8.7467193473789839E-2</v>
      </c>
      <c r="M20" s="14">
        <v>0.13112528862197725</v>
      </c>
      <c r="N20" s="14">
        <v>0.20415840053590295</v>
      </c>
      <c r="O20" s="44">
        <v>0.66705053154125071</v>
      </c>
      <c r="P20" s="14">
        <v>0.12748516991473058</v>
      </c>
      <c r="Q20" s="14">
        <v>0.12334364283968928</v>
      </c>
      <c r="R20" s="14">
        <v>0.13539655852377683</v>
      </c>
      <c r="S20" s="44">
        <v>1.0335771425238678</v>
      </c>
      <c r="T20" s="14">
        <v>0.16457347700801628</v>
      </c>
      <c r="U20" s="14">
        <v>0.12326539668932071</v>
      </c>
      <c r="V20" s="14">
        <v>8.9938167509837089E-2</v>
      </c>
      <c r="W20" s="44">
        <v>1.3351149749090481</v>
      </c>
      <c r="X20" s="31">
        <v>42370</v>
      </c>
      <c r="Y20" s="28">
        <v>8</v>
      </c>
      <c r="Z20" s="33" t="s">
        <v>108</v>
      </c>
      <c r="AA20" s="33" t="s">
        <v>108</v>
      </c>
      <c r="AB20" s="33" t="s">
        <v>108</v>
      </c>
      <c r="AC20" s="8" t="s">
        <v>108</v>
      </c>
      <c r="AD20" s="8" t="s">
        <v>108</v>
      </c>
      <c r="AE20" s="8" t="s">
        <v>33</v>
      </c>
    </row>
    <row r="21" spans="1:31" s="8" customFormat="1" ht="21.75" customHeight="1" x14ac:dyDescent="0.35">
      <c r="A21" s="12" t="s">
        <v>42</v>
      </c>
      <c r="B21" s="13" t="s">
        <v>44</v>
      </c>
      <c r="C21" s="14">
        <v>4.9856936638685179E-2</v>
      </c>
      <c r="D21" s="14">
        <v>1.4594736587723598</v>
      </c>
      <c r="E21" s="14">
        <v>0.1787297448231287</v>
      </c>
      <c r="F21" s="14">
        <v>0.56573223779603621</v>
      </c>
      <c r="G21" s="44">
        <v>0.27895153483279295</v>
      </c>
      <c r="H21" s="14">
        <v>8.1759798652736304E-2</v>
      </c>
      <c r="I21" s="14">
        <v>0.13772980196741369</v>
      </c>
      <c r="J21" s="14">
        <v>0.3374247798190731</v>
      </c>
      <c r="K21" s="44">
        <v>0.59362460037574394</v>
      </c>
      <c r="L21" s="14">
        <v>7.7518341722347062E-2</v>
      </c>
      <c r="M21" s="14">
        <v>0.13021634946488109</v>
      </c>
      <c r="N21" s="14">
        <v>0.20757217565728209</v>
      </c>
      <c r="O21" s="44">
        <v>0.5953042151842346</v>
      </c>
      <c r="P21" s="14">
        <v>0.10246469403704772</v>
      </c>
      <c r="Q21" s="14">
        <v>0.12540005147394462</v>
      </c>
      <c r="R21" s="14">
        <v>0.15887147712575583</v>
      </c>
      <c r="S21" s="44">
        <v>0.81710248785932627</v>
      </c>
      <c r="T21" s="14">
        <v>0.12673078077589039</v>
      </c>
      <c r="U21" s="14">
        <v>0.13257703304694976</v>
      </c>
      <c r="V21" s="14">
        <v>0.1002257588004126</v>
      </c>
      <c r="W21" s="44">
        <v>0.95590297854237682</v>
      </c>
      <c r="X21" s="31" t="s">
        <v>106</v>
      </c>
      <c r="Y21" s="28">
        <v>8</v>
      </c>
      <c r="Z21" s="33" t="s">
        <v>108</v>
      </c>
      <c r="AA21" s="33" t="s">
        <v>108</v>
      </c>
      <c r="AB21" s="33" t="s">
        <v>107</v>
      </c>
      <c r="AC21" s="8" t="s">
        <v>108</v>
      </c>
      <c r="AD21" s="8" t="s">
        <v>108</v>
      </c>
      <c r="AE21" s="8" t="s">
        <v>33</v>
      </c>
    </row>
    <row r="22" spans="1:31" s="8" customFormat="1" ht="21.75" customHeight="1" x14ac:dyDescent="0.35">
      <c r="A22" s="12" t="s">
        <v>150</v>
      </c>
      <c r="B22" s="13" t="s">
        <v>224</v>
      </c>
      <c r="C22" s="14">
        <v>4.2405856316095614E-2</v>
      </c>
      <c r="D22" s="14">
        <v>1.1558871966694206</v>
      </c>
      <c r="E22" s="14">
        <v>0.19104622383705325</v>
      </c>
      <c r="F22" s="14">
        <v>0.49374680026329265</v>
      </c>
      <c r="G22" s="44">
        <v>0.22196647211548307</v>
      </c>
      <c r="H22" s="14">
        <v>8.676469602783965E-2</v>
      </c>
      <c r="I22" s="14">
        <v>0.1684518637225931</v>
      </c>
      <c r="J22" s="14">
        <v>0.36765158510310858</v>
      </c>
      <c r="K22" s="44">
        <v>0.51507115510887991</v>
      </c>
      <c r="L22" s="14">
        <v>0.10123654985237174</v>
      </c>
      <c r="M22" s="14">
        <v>0.16409278070549957</v>
      </c>
      <c r="N22" s="14">
        <v>0.23201511674989725</v>
      </c>
      <c r="O22" s="44">
        <v>0.61694700654785595</v>
      </c>
      <c r="P22" s="14">
        <v>0.14290315261263831</v>
      </c>
      <c r="Q22" s="14">
        <v>0.14209091316004546</v>
      </c>
      <c r="R22" s="14">
        <v>0.14955478829729241</v>
      </c>
      <c r="S22" s="44">
        <v>1.0057163363548658</v>
      </c>
      <c r="T22" s="14">
        <v>0.2004955656279519</v>
      </c>
      <c r="U22" s="14">
        <v>0.14885907806348023</v>
      </c>
      <c r="V22" s="14">
        <v>0.11247233638950335</v>
      </c>
      <c r="W22" s="44">
        <v>1.3468816832417272</v>
      </c>
      <c r="X22" s="31">
        <v>44926</v>
      </c>
      <c r="Y22" s="28">
        <v>8</v>
      </c>
      <c r="Z22" s="33" t="s">
        <v>108</v>
      </c>
      <c r="AA22" s="33" t="s">
        <v>108</v>
      </c>
      <c r="AB22" s="33" t="s">
        <v>108</v>
      </c>
      <c r="AC22" s="8" t="s">
        <v>108</v>
      </c>
      <c r="AD22" s="8" t="s">
        <v>108</v>
      </c>
      <c r="AE22" s="8" t="s">
        <v>132</v>
      </c>
    </row>
    <row r="23" spans="1:31" s="8" customFormat="1" ht="21.75" customHeight="1" x14ac:dyDescent="0.35">
      <c r="A23" s="12" t="s">
        <v>60</v>
      </c>
      <c r="B23" s="13" t="s">
        <v>82</v>
      </c>
      <c r="C23" s="14">
        <v>5.949624012585697E-2</v>
      </c>
      <c r="D23" s="14">
        <v>1.9124733423974933</v>
      </c>
      <c r="E23" s="14">
        <v>0.18247447525817381</v>
      </c>
      <c r="F23" s="14">
        <v>0.55035094863105871</v>
      </c>
      <c r="G23" s="44">
        <v>0.32605239741985165</v>
      </c>
      <c r="H23" s="14">
        <v>9.8371315976164775E-2</v>
      </c>
      <c r="I23" s="14">
        <v>0.14924993461952413</v>
      </c>
      <c r="J23" s="14">
        <v>0.3525781279641832</v>
      </c>
      <c r="K23" s="44">
        <v>0.65910458337511613</v>
      </c>
      <c r="L23" s="14">
        <v>0.10599722123003352</v>
      </c>
      <c r="M23" s="14">
        <v>0.13889540598778535</v>
      </c>
      <c r="N23" s="14">
        <v>0.19288017376528174</v>
      </c>
      <c r="O23" s="44">
        <v>0.7631441837561932</v>
      </c>
      <c r="P23" s="14">
        <v>0.14653493041732291</v>
      </c>
      <c r="Q23" s="14">
        <v>0.123809894278812</v>
      </c>
      <c r="R23" s="14">
        <v>0.1626344655110607</v>
      </c>
      <c r="S23" s="44">
        <v>1.1835478195897298</v>
      </c>
      <c r="T23" s="14">
        <v>0.21822842738730719</v>
      </c>
      <c r="U23" s="14">
        <v>0.12235194380628714</v>
      </c>
      <c r="V23" s="14">
        <v>9.6124637716605718E-2</v>
      </c>
      <c r="W23" s="44">
        <v>1.7836122631023814</v>
      </c>
      <c r="X23" s="31">
        <v>41640</v>
      </c>
      <c r="Y23" s="28">
        <v>6</v>
      </c>
      <c r="Z23" s="33" t="s">
        <v>108</v>
      </c>
      <c r="AA23" s="33" t="s">
        <v>106</v>
      </c>
      <c r="AB23" s="33" t="s">
        <v>108</v>
      </c>
      <c r="AC23" s="8" t="s">
        <v>108</v>
      </c>
      <c r="AD23" s="8" t="s">
        <v>106</v>
      </c>
      <c r="AE23" s="8" t="s">
        <v>33</v>
      </c>
    </row>
    <row r="24" spans="1:31" s="8" customFormat="1" ht="21.75" customHeight="1" x14ac:dyDescent="0.35">
      <c r="A24" s="12"/>
      <c r="B24" s="13"/>
      <c r="C24" s="14"/>
      <c r="D24" s="14"/>
      <c r="E24" s="14"/>
      <c r="F24" s="14"/>
      <c r="G24" s="25"/>
      <c r="H24" s="14"/>
      <c r="I24" s="14"/>
      <c r="J24" s="14"/>
      <c r="K24" s="25"/>
      <c r="L24" s="14"/>
      <c r="M24" s="14"/>
      <c r="N24" s="14"/>
      <c r="O24" s="25"/>
      <c r="P24" s="14"/>
      <c r="Q24" s="14"/>
      <c r="R24" s="14"/>
      <c r="S24" s="25"/>
      <c r="T24" s="14"/>
      <c r="U24" s="14"/>
      <c r="V24" s="14"/>
      <c r="W24" s="25"/>
      <c r="X24" s="16"/>
      <c r="Y24" s="28"/>
      <c r="Z24" s="15"/>
      <c r="AA24" s="15"/>
      <c r="AB24" s="15"/>
      <c r="AC24" s="15"/>
      <c r="AD24" s="33"/>
      <c r="AE24" s="33"/>
    </row>
    <row r="25" spans="1:31" s="8" customFormat="1" ht="21.75" customHeight="1" x14ac:dyDescent="0.35">
      <c r="A25" s="36" t="s">
        <v>2</v>
      </c>
      <c r="B25" s="36" t="s">
        <v>3</v>
      </c>
      <c r="C25" s="37">
        <f>AVERAGE(Table3[Performance annualisée depuis 01/08])</f>
        <v>5.8319654845502195E-2</v>
      </c>
      <c r="D25" s="37">
        <f>AVERAGE(Table3[Perf. Totale depuis 01/08])</f>
        <v>1.9079662250992655</v>
      </c>
      <c r="E25" s="37">
        <f>AVERAGE(Table3[Volatilité annualisée depuis 01/08])</f>
        <v>0.18478973357624653</v>
      </c>
      <c r="F25" s="37">
        <f>AVERAGE(Table3[Max Drawdown depuis 01/08])</f>
        <v>0.51457290067370476</v>
      </c>
      <c r="G25" s="42">
        <f>AVERAGE(Table3[Couple Rendement / Risque depuis 01/08])</f>
        <v>0.32161611984519617</v>
      </c>
      <c r="H25" s="37">
        <f>AVERAGE(Table3[Performance annualisée 10 ans])</f>
        <v>9.0088018905610787E-2</v>
      </c>
      <c r="I25" s="37">
        <f>AVERAGE(Table3[Volatilité annualisée 10 ans])</f>
        <v>0.15661466361350218</v>
      </c>
      <c r="J25" s="37">
        <f>AVERAGE(Table3[Max Drawdown 10 ans])</f>
        <v>0.35523292053228139</v>
      </c>
      <c r="K25" s="42">
        <f>AVERAGE(Table3[Couple Rendement Risque 10 ans])</f>
        <v>0.57697852994932419</v>
      </c>
      <c r="L25" s="37">
        <f>AVERAGE(Table3[Performance annualisée 5 ans])</f>
        <v>8.0178602373179905E-2</v>
      </c>
      <c r="M25" s="37">
        <f>AVERAGE(Table3[Volatilité annualisée 5 ans])</f>
        <v>0.15387494029479548</v>
      </c>
      <c r="N25" s="37">
        <f>AVERAGE(Table3[Max Drawdown 5 ans])</f>
        <v>0.2471496546979092</v>
      </c>
      <c r="O25" s="42">
        <f>AVERAGE(Table3[Couple Rendement Risque 5 ans])</f>
        <v>0.53345193575846173</v>
      </c>
      <c r="P25" s="37">
        <f>AVERAGE(Table3[Performance annualisée 3 ans])</f>
        <v>0.11771136937692854</v>
      </c>
      <c r="Q25" s="37">
        <f>AVERAGE(Table3[Volatilité annualisée 3 ans])</f>
        <v>0.13629661597984466</v>
      </c>
      <c r="R25" s="37">
        <f>AVERAGE(Table3[Max Drawdown 3 ans])</f>
        <v>0.16853507136260387</v>
      </c>
      <c r="S25" s="42">
        <f>AVERAGE(Table3[Couple Rendement Risque 3 ans])</f>
        <v>0.87678956794314422</v>
      </c>
      <c r="T25" s="37">
        <f>AVERAGE(Table3[Performance annualisée 1 an])</f>
        <v>0.14947595872884298</v>
      </c>
      <c r="U25" s="37">
        <f>AVERAGE(Table3[Volatilité annualisée 1 an])</f>
        <v>0.13879645186420556</v>
      </c>
      <c r="V25" s="37">
        <f>AVERAGE(Table3[Max Drawdown 1 an])</f>
        <v>0.11421180027268112</v>
      </c>
      <c r="W25" s="42">
        <f>AVERAGE(Table3[Couple Rendement Risque 1 an])</f>
        <v>1.1036107659905443</v>
      </c>
      <c r="X25" s="38"/>
      <c r="Y25" s="37"/>
      <c r="Z25" s="37"/>
      <c r="AA25" s="37"/>
      <c r="AB25" s="37"/>
      <c r="AC25" s="37"/>
      <c r="AD25" s="37"/>
      <c r="AE25" s="37"/>
    </row>
    <row r="26" spans="1:31" s="1" customFormat="1" ht="21.75" customHeight="1" x14ac:dyDescent="0.35">
      <c r="A26" s="7"/>
      <c r="B26" s="2"/>
      <c r="C26" s="2"/>
      <c r="D26" s="2"/>
      <c r="E26" s="5"/>
      <c r="F26" s="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31" ht="21.75" customHeight="1" x14ac:dyDescent="0.35">
      <c r="C27" s="29"/>
      <c r="D27" s="29"/>
      <c r="E27" s="29"/>
      <c r="F27" s="29"/>
      <c r="G27" s="26"/>
      <c r="H27" s="29"/>
      <c r="I27" s="29"/>
      <c r="J27" s="29"/>
      <c r="K27" s="26"/>
      <c r="L27" s="29"/>
      <c r="M27" s="29"/>
      <c r="N27" s="29"/>
      <c r="O27" s="26"/>
      <c r="P27" s="29"/>
      <c r="Q27" s="29"/>
      <c r="R27" s="29"/>
      <c r="S27" s="26"/>
      <c r="T27" s="29"/>
      <c r="U27" s="29"/>
      <c r="V27" s="29"/>
      <c r="W27" s="26"/>
    </row>
    <row r="28" spans="1:31" ht="21.75" customHeight="1" x14ac:dyDescent="0.35">
      <c r="E28" s="2"/>
      <c r="F28" s="2"/>
    </row>
    <row r="29" spans="1:31" ht="21.75" customHeight="1" x14ac:dyDescent="0.35">
      <c r="E29" s="2"/>
      <c r="F29" s="2"/>
    </row>
    <row r="30" spans="1:31" ht="21.75" customHeight="1" x14ac:dyDescent="0.35">
      <c r="E30" s="2"/>
      <c r="F30" s="2"/>
      <c r="AB30" s="6"/>
    </row>
    <row r="31" spans="1:31" ht="21.75" customHeight="1" x14ac:dyDescent="0.35">
      <c r="E31" s="2"/>
      <c r="F31" s="2"/>
    </row>
    <row r="32" spans="1:31" x14ac:dyDescent="0.35">
      <c r="E32" s="2"/>
      <c r="F32" s="2"/>
    </row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  <row r="44" s="2" customFormat="1" x14ac:dyDescent="0.35"/>
    <row r="45" s="2" customFormat="1" x14ac:dyDescent="0.35"/>
    <row r="46" s="2" customFormat="1" x14ac:dyDescent="0.35"/>
    <row r="47" s="2" customFormat="1" x14ac:dyDescent="0.35"/>
    <row r="48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</sheetData>
  <sheetProtection selectLockedCells="1"/>
  <phoneticPr fontId="22" type="noConversion"/>
  <conditionalFormatting sqref="C4:C24">
    <cfRule type="iconSet" priority="457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24">
    <cfRule type="iconSet" priority="457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24">
    <cfRule type="iconSet" priority="457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24">
    <cfRule type="iconSet" priority="457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24">
    <cfRule type="iconSet" priority="458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33:X33">
    <cfRule type="iconSet" priority="5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24">
    <cfRule type="iconSet" priority="458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24">
    <cfRule type="iconSet" priority="458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24">
    <cfRule type="iconSet" priority="458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24">
    <cfRule type="iconSet" priority="458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24">
    <cfRule type="iconSet" priority="459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24">
    <cfRule type="iconSet" priority="459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24">
    <cfRule type="iconSet" priority="459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24">
    <cfRule type="iconSet" priority="459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24">
    <cfRule type="iconSet" priority="459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24">
    <cfRule type="iconSet" priority="460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24">
    <cfRule type="iconSet" priority="460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24">
    <cfRule type="iconSet" priority="460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24">
    <cfRule type="iconSet" priority="460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24">
    <cfRule type="iconSet" priority="460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24">
    <cfRule type="iconSet" priority="461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24">
    <cfRule type="iconSet" priority="461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tabColor rgb="FF008000"/>
    <pageSetUpPr fitToPage="1"/>
  </sheetPr>
  <dimension ref="A1:AE52"/>
  <sheetViews>
    <sheetView showGridLines="0" zoomScale="70" zoomScaleNormal="70" workbookViewId="0">
      <pane xSplit="1" topLeftCell="B1" activePane="topRight" state="frozen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19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22"/>
      <c r="T2" s="4"/>
      <c r="U2" s="4"/>
      <c r="V2" s="22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8" customFormat="1" ht="21.75" customHeight="1" x14ac:dyDescent="0.35">
      <c r="A4" s="12" t="s">
        <v>47</v>
      </c>
      <c r="B4" s="13" t="s">
        <v>83</v>
      </c>
      <c r="C4" s="14">
        <v>9.8259906943052755E-2</v>
      </c>
      <c r="D4" s="14">
        <v>4.6613436964652495</v>
      </c>
      <c r="E4" s="14">
        <v>0.1709384874140944</v>
      </c>
      <c r="F4" s="14">
        <v>0.47555789875599996</v>
      </c>
      <c r="G4" s="44">
        <v>0.57482611686518836</v>
      </c>
      <c r="H4" s="14">
        <v>0.12898435713460765</v>
      </c>
      <c r="I4" s="14">
        <v>0.15189776233617591</v>
      </c>
      <c r="J4" s="14">
        <v>0.33620423357429557</v>
      </c>
      <c r="K4" s="44">
        <v>0.84915245064073464</v>
      </c>
      <c r="L4" s="14">
        <v>0.13989599903787742</v>
      </c>
      <c r="M4" s="14">
        <v>0.15121057075177954</v>
      </c>
      <c r="N4" s="14">
        <v>0.21572789550717147</v>
      </c>
      <c r="O4" s="44">
        <v>0.92517340780046642</v>
      </c>
      <c r="P4" s="14">
        <v>0.18629645335283818</v>
      </c>
      <c r="Q4" s="14">
        <v>0.14990144419940821</v>
      </c>
      <c r="R4" s="14">
        <v>0.21572789550717147</v>
      </c>
      <c r="S4" s="44">
        <v>1.2427929186927316</v>
      </c>
      <c r="T4" s="14">
        <v>0.23798710611332496</v>
      </c>
      <c r="U4" s="14">
        <v>0.12267961953028622</v>
      </c>
      <c r="V4" s="14">
        <v>6.6298979950906958E-2</v>
      </c>
      <c r="W4" s="44">
        <v>1.9399074355180284</v>
      </c>
      <c r="X4" s="31">
        <v>41640</v>
      </c>
      <c r="Y4" s="33">
        <v>6</v>
      </c>
      <c r="Z4" s="33" t="s">
        <v>108</v>
      </c>
      <c r="AA4" s="47" t="s">
        <v>106</v>
      </c>
      <c r="AB4" s="47" t="s">
        <v>108</v>
      </c>
      <c r="AC4" s="47" t="s">
        <v>108</v>
      </c>
      <c r="AD4" s="47" t="s">
        <v>106</v>
      </c>
      <c r="AE4" s="47" t="s">
        <v>33</v>
      </c>
    </row>
    <row r="5" spans="1:31" s="8" customFormat="1" ht="21.75" customHeight="1" x14ac:dyDescent="0.35">
      <c r="A5" s="12" t="s">
        <v>68</v>
      </c>
      <c r="B5" s="13" t="s">
        <v>184</v>
      </c>
      <c r="C5" s="14" t="s">
        <v>106</v>
      </c>
      <c r="D5" s="14" t="s">
        <v>106</v>
      </c>
      <c r="E5" s="14" t="s">
        <v>106</v>
      </c>
      <c r="F5" s="14" t="s">
        <v>106</v>
      </c>
      <c r="G5" s="44" t="s">
        <v>106</v>
      </c>
      <c r="H5" s="14">
        <v>0.14343859874049691</v>
      </c>
      <c r="I5" s="14">
        <v>0.14623719441137437</v>
      </c>
      <c r="J5" s="14">
        <v>0.33581692649247352</v>
      </c>
      <c r="K5" s="44">
        <v>0.98086262744480157</v>
      </c>
      <c r="L5" s="14">
        <v>0.15742498365133617</v>
      </c>
      <c r="M5" s="14">
        <v>0.13041404660049652</v>
      </c>
      <c r="N5" s="14">
        <v>0.16921371551914338</v>
      </c>
      <c r="O5" s="44">
        <v>1.2071167773329166</v>
      </c>
      <c r="P5" s="14">
        <v>0.22078559828750355</v>
      </c>
      <c r="Q5" s="14">
        <v>0.12369144706400824</v>
      </c>
      <c r="R5" s="14">
        <v>0.16921371551914338</v>
      </c>
      <c r="S5" s="44">
        <v>1.784970614607255</v>
      </c>
      <c r="T5" s="14">
        <v>0.35973237394081559</v>
      </c>
      <c r="U5" s="14">
        <v>0.11921837574253867</v>
      </c>
      <c r="V5" s="14">
        <v>7.541252861531654E-2</v>
      </c>
      <c r="W5" s="44">
        <v>3.0174238803394333</v>
      </c>
      <c r="X5" s="31">
        <v>45838</v>
      </c>
      <c r="Y5" s="33">
        <v>8</v>
      </c>
      <c r="Z5" s="33" t="s">
        <v>119</v>
      </c>
      <c r="AA5" s="47" t="s">
        <v>108</v>
      </c>
      <c r="AB5" s="47" t="s">
        <v>108</v>
      </c>
      <c r="AC5" s="47" t="s">
        <v>108</v>
      </c>
      <c r="AD5" s="47" t="s">
        <v>108</v>
      </c>
      <c r="AE5" s="47" t="s">
        <v>33</v>
      </c>
    </row>
    <row r="6" spans="1:31" s="8" customFormat="1" ht="21.75" customHeight="1" x14ac:dyDescent="0.35">
      <c r="A6" s="12" t="s">
        <v>241</v>
      </c>
      <c r="B6" s="13" t="s">
        <v>244</v>
      </c>
      <c r="C6" s="14">
        <v>8.285027275468182E-2</v>
      </c>
      <c r="D6" s="14">
        <v>3.3592233009708741</v>
      </c>
      <c r="E6" s="14">
        <v>0.17685131084881492</v>
      </c>
      <c r="F6" s="14">
        <v>0.49602824360105913</v>
      </c>
      <c r="G6" s="44">
        <v>0.46847417956380388</v>
      </c>
      <c r="H6" s="14">
        <v>0.11394884750034917</v>
      </c>
      <c r="I6" s="14">
        <v>0.15095585198598185</v>
      </c>
      <c r="J6" s="14">
        <v>0.35483870967741932</v>
      </c>
      <c r="K6" s="44">
        <v>0.75484882501230066</v>
      </c>
      <c r="L6" s="14">
        <v>0.11610340062696811</v>
      </c>
      <c r="M6" s="14">
        <v>0.1344841771348555</v>
      </c>
      <c r="N6" s="14">
        <v>0.20246971109040085</v>
      </c>
      <c r="O6" s="44">
        <v>0.86332387274485189</v>
      </c>
      <c r="P6" s="14">
        <v>0.16355116256972368</v>
      </c>
      <c r="Q6" s="14">
        <v>0.11865633494603814</v>
      </c>
      <c r="R6" s="14">
        <v>0.20246971109040085</v>
      </c>
      <c r="S6" s="44">
        <v>1.3783601410249404</v>
      </c>
      <c r="T6" s="14">
        <v>0.24176270830322699</v>
      </c>
      <c r="U6" s="14">
        <v>9.1817435768498989E-2</v>
      </c>
      <c r="V6" s="14">
        <v>7.5140753572975283E-2</v>
      </c>
      <c r="W6" s="44">
        <v>2.6330805938949093</v>
      </c>
      <c r="X6" s="31">
        <v>41640</v>
      </c>
      <c r="Y6" s="33">
        <v>8</v>
      </c>
      <c r="Z6" s="33" t="s">
        <v>108</v>
      </c>
      <c r="AA6" s="47" t="s">
        <v>108</v>
      </c>
      <c r="AB6" s="47" t="s">
        <v>108</v>
      </c>
      <c r="AC6" s="47" t="s">
        <v>108</v>
      </c>
      <c r="AD6" s="47" t="s">
        <v>108</v>
      </c>
      <c r="AE6" s="47" t="s">
        <v>33</v>
      </c>
    </row>
    <row r="7" spans="1:31" s="8" customFormat="1" ht="21.75" customHeight="1" x14ac:dyDescent="0.35">
      <c r="A7" s="12" t="s">
        <v>27</v>
      </c>
      <c r="B7" s="13" t="s">
        <v>225</v>
      </c>
      <c r="C7" s="14" t="s">
        <v>106</v>
      </c>
      <c r="D7" s="14" t="s">
        <v>106</v>
      </c>
      <c r="E7" s="14" t="s">
        <v>106</v>
      </c>
      <c r="F7" s="14" t="s">
        <v>106</v>
      </c>
      <c r="G7" s="44" t="s">
        <v>106</v>
      </c>
      <c r="H7" s="14" t="s">
        <v>106</v>
      </c>
      <c r="I7" s="14" t="s">
        <v>106</v>
      </c>
      <c r="J7" s="14" t="s">
        <v>106</v>
      </c>
      <c r="K7" s="44" t="s">
        <v>106</v>
      </c>
      <c r="L7" s="14">
        <v>3.8688795040261459E-2</v>
      </c>
      <c r="M7" s="14">
        <v>0.10658778041241654</v>
      </c>
      <c r="N7" s="14">
        <v>0.24171924441202858</v>
      </c>
      <c r="O7" s="44">
        <v>0.36297589545972525</v>
      </c>
      <c r="P7" s="14">
        <v>0.10011297919781148</v>
      </c>
      <c r="Q7" s="14">
        <v>0.10810125628440308</v>
      </c>
      <c r="R7" s="14">
        <v>0.16874639159385704</v>
      </c>
      <c r="S7" s="44">
        <v>0.92610375345152995</v>
      </c>
      <c r="T7" s="14">
        <v>0.22416233933461283</v>
      </c>
      <c r="U7" s="14">
        <v>9.7619626667615936E-2</v>
      </c>
      <c r="V7" s="14">
        <v>7.6764627040449243E-2</v>
      </c>
      <c r="W7" s="44">
        <v>2.2962835137432034</v>
      </c>
      <c r="X7" s="31" t="s">
        <v>106</v>
      </c>
      <c r="Y7" s="33" t="s">
        <v>208</v>
      </c>
      <c r="Z7" s="33" t="s">
        <v>108</v>
      </c>
      <c r="AA7" s="47" t="s">
        <v>108</v>
      </c>
      <c r="AB7" s="47" t="s">
        <v>108</v>
      </c>
      <c r="AC7" s="47" t="s">
        <v>108</v>
      </c>
      <c r="AD7" s="47" t="s">
        <v>108</v>
      </c>
      <c r="AE7" s="47" t="s">
        <v>31</v>
      </c>
    </row>
    <row r="8" spans="1:31" s="8" customFormat="1" ht="21.75" customHeight="1" x14ac:dyDescent="0.35">
      <c r="A8" s="12" t="s">
        <v>245</v>
      </c>
      <c r="B8" s="13" t="s">
        <v>246</v>
      </c>
      <c r="C8" s="14">
        <v>8.5030050735472429E-2</v>
      </c>
      <c r="D8" s="14">
        <v>3.5244262779474047</v>
      </c>
      <c r="E8" s="14">
        <v>0.16752050537757784</v>
      </c>
      <c r="F8" s="14">
        <v>0.79897249463933906</v>
      </c>
      <c r="G8" s="44">
        <v>0.50757995592134519</v>
      </c>
      <c r="H8" s="14">
        <v>0.11138116457378944</v>
      </c>
      <c r="I8" s="14">
        <v>0.15476789472626382</v>
      </c>
      <c r="J8" s="14">
        <v>0.33680347976664127</v>
      </c>
      <c r="K8" s="44">
        <v>0.71966582456127615</v>
      </c>
      <c r="L8" s="14">
        <v>0.10057412258133192</v>
      </c>
      <c r="M8" s="14">
        <v>0.14631875523997989</v>
      </c>
      <c r="N8" s="14">
        <v>0.19129480614484271</v>
      </c>
      <c r="O8" s="44">
        <v>0.68736316418478671</v>
      </c>
      <c r="P8" s="14">
        <v>0.1426474686885788</v>
      </c>
      <c r="Q8" s="14">
        <v>0.1297554470347945</v>
      </c>
      <c r="R8" s="14">
        <v>0.18812293375780592</v>
      </c>
      <c r="S8" s="44">
        <v>1.0993563040966385</v>
      </c>
      <c r="T8" s="14">
        <v>0.20696225609091168</v>
      </c>
      <c r="U8" s="14">
        <v>0.1088343462929913</v>
      </c>
      <c r="V8" s="14">
        <v>8.1384145704435459E-2</v>
      </c>
      <c r="W8" s="44">
        <v>1.9016263076892264</v>
      </c>
      <c r="X8" s="31">
        <v>46022</v>
      </c>
      <c r="Y8" s="33">
        <v>9</v>
      </c>
      <c r="Z8" s="33" t="s">
        <v>107</v>
      </c>
      <c r="AA8" s="47" t="s">
        <v>32</v>
      </c>
      <c r="AB8" s="47" t="s">
        <v>32</v>
      </c>
      <c r="AC8" s="47" t="s">
        <v>32</v>
      </c>
      <c r="AD8" s="47" t="s">
        <v>32</v>
      </c>
      <c r="AE8" s="47" t="s">
        <v>247</v>
      </c>
    </row>
    <row r="9" spans="1:31" s="8" customFormat="1" ht="21.75" customHeight="1" x14ac:dyDescent="0.35">
      <c r="A9" s="12" t="s">
        <v>34</v>
      </c>
      <c r="B9" s="13" t="s">
        <v>185</v>
      </c>
      <c r="C9" s="14">
        <v>7.9018579271236566E-2</v>
      </c>
      <c r="D9" s="14">
        <v>3.082567167379028</v>
      </c>
      <c r="E9" s="14">
        <v>0.16170519165468147</v>
      </c>
      <c r="F9" s="14">
        <v>0.39379196263501021</v>
      </c>
      <c r="G9" s="44">
        <v>0.4886582704158276</v>
      </c>
      <c r="H9" s="14">
        <v>0.11138192968519656</v>
      </c>
      <c r="I9" s="14">
        <v>0.1565273605505689</v>
      </c>
      <c r="J9" s="14">
        <v>0.2877331825890328</v>
      </c>
      <c r="K9" s="44">
        <v>0.71158121681361053</v>
      </c>
      <c r="L9" s="14">
        <v>9.5786800441356457E-2</v>
      </c>
      <c r="M9" s="14">
        <v>0.15197515486183652</v>
      </c>
      <c r="N9" s="14">
        <v>0.2877331825890328</v>
      </c>
      <c r="O9" s="44">
        <v>0.63027934091225668</v>
      </c>
      <c r="P9" s="14">
        <v>0.22476143018693251</v>
      </c>
      <c r="Q9" s="14">
        <v>0.13635270149605885</v>
      </c>
      <c r="R9" s="14">
        <v>0.19508591866884886</v>
      </c>
      <c r="S9" s="44">
        <v>1.6483826702430904</v>
      </c>
      <c r="T9" s="14">
        <v>0.29991219914585043</v>
      </c>
      <c r="U9" s="14">
        <v>0.12301091868674077</v>
      </c>
      <c r="V9" s="14">
        <v>7.5672379920059818E-2</v>
      </c>
      <c r="W9" s="44">
        <v>2.4380941330062407</v>
      </c>
      <c r="X9" s="31">
        <v>41640</v>
      </c>
      <c r="Y9" s="33">
        <v>8</v>
      </c>
      <c r="Z9" s="33" t="s">
        <v>107</v>
      </c>
      <c r="AA9" s="47" t="s">
        <v>106</v>
      </c>
      <c r="AB9" s="47" t="s">
        <v>108</v>
      </c>
      <c r="AC9" s="47" t="s">
        <v>108</v>
      </c>
      <c r="AD9" s="47" t="s">
        <v>106</v>
      </c>
      <c r="AE9" s="47" t="s">
        <v>37</v>
      </c>
    </row>
    <row r="10" spans="1:31" s="8" customFormat="1" ht="21.75" customHeight="1" x14ac:dyDescent="0.35">
      <c r="A10" s="12" t="s">
        <v>75</v>
      </c>
      <c r="B10" s="13" t="s">
        <v>84</v>
      </c>
      <c r="C10" s="14">
        <v>7.8411426591542766E-2</v>
      </c>
      <c r="D10" s="14">
        <v>3.0402842237280598</v>
      </c>
      <c r="E10" s="14">
        <v>0.11676161343166906</v>
      </c>
      <c r="F10" s="14">
        <v>0.387834040988909</v>
      </c>
      <c r="G10" s="44">
        <v>0.67155141391935713</v>
      </c>
      <c r="H10" s="14">
        <v>8.7825261740310578E-2</v>
      </c>
      <c r="I10" s="14">
        <v>0.10867957006606892</v>
      </c>
      <c r="J10" s="14">
        <v>0.23864945158266423</v>
      </c>
      <c r="K10" s="44">
        <v>0.80811197253466771</v>
      </c>
      <c r="L10" s="14">
        <v>3.9488897676426715E-2</v>
      </c>
      <c r="M10" s="14">
        <v>0.11326305239963888</v>
      </c>
      <c r="N10" s="14">
        <v>0.23769479443646471</v>
      </c>
      <c r="O10" s="44">
        <v>0.34864765552223997</v>
      </c>
      <c r="P10" s="14">
        <v>6.3959687832499279E-2</v>
      </c>
      <c r="Q10" s="14">
        <v>0.10330199834899513</v>
      </c>
      <c r="R10" s="14">
        <v>0.19444444287868887</v>
      </c>
      <c r="S10" s="44">
        <v>0.61915247386036121</v>
      </c>
      <c r="T10" s="14">
        <v>5.2484426325746458E-2</v>
      </c>
      <c r="U10" s="14">
        <v>9.3247932170941739E-2</v>
      </c>
      <c r="V10" s="14">
        <v>0.12214411167898419</v>
      </c>
      <c r="W10" s="44">
        <v>0.56284815227357765</v>
      </c>
      <c r="X10" s="31" t="s">
        <v>106</v>
      </c>
      <c r="Y10" s="33">
        <v>8</v>
      </c>
      <c r="Z10" s="33" t="s">
        <v>108</v>
      </c>
      <c r="AA10" s="47" t="s">
        <v>106</v>
      </c>
      <c r="AB10" s="47" t="s">
        <v>108</v>
      </c>
      <c r="AC10" s="47" t="s">
        <v>108</v>
      </c>
      <c r="AD10" s="47" t="s">
        <v>106</v>
      </c>
      <c r="AE10" s="47" t="s">
        <v>33</v>
      </c>
    </row>
    <row r="11" spans="1:31" s="8" customFormat="1" ht="21.75" customHeight="1" x14ac:dyDescent="0.35">
      <c r="A11" s="12" t="s">
        <v>131</v>
      </c>
      <c r="B11" s="13" t="s">
        <v>142</v>
      </c>
      <c r="C11" s="14">
        <v>7.0742695391502908E-2</v>
      </c>
      <c r="D11" s="14">
        <v>2.5406524073742616</v>
      </c>
      <c r="E11" s="14">
        <v>0.15433287415226735</v>
      </c>
      <c r="F11" s="14">
        <v>0.45310542330409881</v>
      </c>
      <c r="G11" s="44">
        <v>0.45837735984691769</v>
      </c>
      <c r="H11" s="14">
        <v>0.10928994237103429</v>
      </c>
      <c r="I11" s="14">
        <v>0.13511879879589206</v>
      </c>
      <c r="J11" s="14">
        <v>0.30516101282336094</v>
      </c>
      <c r="K11" s="44">
        <v>0.80884335373737037</v>
      </c>
      <c r="L11" s="14">
        <v>0.10359022217971625</v>
      </c>
      <c r="M11" s="14">
        <v>0.13999858496262971</v>
      </c>
      <c r="N11" s="14">
        <v>0.22864214872756305</v>
      </c>
      <c r="O11" s="44">
        <v>0.73993763727946205</v>
      </c>
      <c r="P11" s="14">
        <v>0.17784520857117414</v>
      </c>
      <c r="Q11" s="14">
        <v>0.14076142353126381</v>
      </c>
      <c r="R11" s="14">
        <v>0.20461875867681567</v>
      </c>
      <c r="S11" s="44">
        <v>1.2634513356684962</v>
      </c>
      <c r="T11" s="14">
        <v>0.26160287372206792</v>
      </c>
      <c r="U11" s="14">
        <v>0.12963358875094202</v>
      </c>
      <c r="V11" s="14">
        <v>9.3380868640833087E-2</v>
      </c>
      <c r="W11" s="44">
        <v>2.0180176776920935</v>
      </c>
      <c r="X11" s="31">
        <v>45657</v>
      </c>
      <c r="Y11" s="33">
        <v>8</v>
      </c>
      <c r="Z11" s="33" t="s">
        <v>108</v>
      </c>
      <c r="AA11" s="47" t="s">
        <v>108</v>
      </c>
      <c r="AB11" s="47" t="s">
        <v>108</v>
      </c>
      <c r="AC11" s="47" t="s">
        <v>108</v>
      </c>
      <c r="AD11" s="47" t="s">
        <v>108</v>
      </c>
      <c r="AE11" s="47" t="s">
        <v>31</v>
      </c>
    </row>
    <row r="12" spans="1:31" s="8" customFormat="1" ht="21.75" customHeight="1" x14ac:dyDescent="0.35">
      <c r="A12" s="12" t="s">
        <v>56</v>
      </c>
      <c r="B12" s="13" t="s">
        <v>85</v>
      </c>
      <c r="C12" s="14" t="s">
        <v>106</v>
      </c>
      <c r="D12" s="14" t="s">
        <v>106</v>
      </c>
      <c r="E12" s="14" t="s">
        <v>106</v>
      </c>
      <c r="F12" s="14" t="s">
        <v>106</v>
      </c>
      <c r="G12" s="44" t="s">
        <v>106</v>
      </c>
      <c r="H12" s="14">
        <v>8.8797453057857023E-2</v>
      </c>
      <c r="I12" s="14">
        <v>0.15697320340396201</v>
      </c>
      <c r="J12" s="14">
        <v>0.33914821393471101</v>
      </c>
      <c r="K12" s="44">
        <v>0.565685423577307</v>
      </c>
      <c r="L12" s="14">
        <v>4.466335156829726E-2</v>
      </c>
      <c r="M12" s="14">
        <v>0.15060670576781648</v>
      </c>
      <c r="N12" s="14">
        <v>0.22786030605538082</v>
      </c>
      <c r="O12" s="44">
        <v>0.29655619476301887</v>
      </c>
      <c r="P12" s="14">
        <v>5.8536529383040437E-2</v>
      </c>
      <c r="Q12" s="14">
        <v>0.13814290689818462</v>
      </c>
      <c r="R12" s="14">
        <v>0.2096702233227431</v>
      </c>
      <c r="S12" s="44">
        <v>0.4237389432248127</v>
      </c>
      <c r="T12" s="14">
        <v>0.18850545231667426</v>
      </c>
      <c r="U12" s="14">
        <v>0.12866012218075817</v>
      </c>
      <c r="V12" s="14">
        <v>8.3453215215307852E-2</v>
      </c>
      <c r="W12" s="44">
        <v>1.4651428051019393</v>
      </c>
      <c r="X12" s="31">
        <v>45291</v>
      </c>
      <c r="Y12" s="33">
        <v>9</v>
      </c>
      <c r="Z12" s="33" t="s">
        <v>107</v>
      </c>
      <c r="AA12" s="47" t="s">
        <v>106</v>
      </c>
      <c r="AB12" s="47" t="s">
        <v>108</v>
      </c>
      <c r="AC12" s="47" t="s">
        <v>108</v>
      </c>
      <c r="AD12" s="47" t="s">
        <v>106</v>
      </c>
      <c r="AE12" s="47" t="s">
        <v>29</v>
      </c>
    </row>
    <row r="13" spans="1:31" s="8" customFormat="1" ht="21.75" customHeight="1" x14ac:dyDescent="0.35">
      <c r="A13" s="12" t="s">
        <v>149</v>
      </c>
      <c r="B13" s="13" t="s">
        <v>226</v>
      </c>
      <c r="C13" s="14" t="s">
        <v>106</v>
      </c>
      <c r="D13" s="14" t="s">
        <v>106</v>
      </c>
      <c r="E13" s="14" t="s">
        <v>106</v>
      </c>
      <c r="F13" s="14" t="s">
        <v>106</v>
      </c>
      <c r="G13" s="44" t="s">
        <v>106</v>
      </c>
      <c r="H13" s="14">
        <v>0.10475153078435873</v>
      </c>
      <c r="I13" s="14">
        <v>0.14805295664223342</v>
      </c>
      <c r="J13" s="14">
        <v>0.2823021773765268</v>
      </c>
      <c r="K13" s="44">
        <v>0.70752744936724499</v>
      </c>
      <c r="L13" s="14">
        <v>8.3762821358706274E-2</v>
      </c>
      <c r="M13" s="14">
        <v>0.14222468476291023</v>
      </c>
      <c r="N13" s="14">
        <v>0.26875301379110816</v>
      </c>
      <c r="O13" s="44">
        <v>0.5889471402122608</v>
      </c>
      <c r="P13" s="14">
        <v>0.21520507195269545</v>
      </c>
      <c r="Q13" s="14">
        <v>0.12991594475435081</v>
      </c>
      <c r="R13" s="14">
        <v>0.17011980512162561</v>
      </c>
      <c r="S13" s="44">
        <v>1.6564946847718502</v>
      </c>
      <c r="T13" s="14">
        <v>0.35326635470709467</v>
      </c>
      <c r="U13" s="14">
        <v>0.13076969497022367</v>
      </c>
      <c r="V13" s="14">
        <v>6.5928668303947849E-2</v>
      </c>
      <c r="W13" s="44">
        <v>2.7014390053256117</v>
      </c>
      <c r="X13" s="31" t="s">
        <v>106</v>
      </c>
      <c r="Y13" s="33">
        <v>6</v>
      </c>
      <c r="Z13" s="33" t="s">
        <v>32</v>
      </c>
      <c r="AA13" s="47" t="s">
        <v>32</v>
      </c>
      <c r="AB13" s="47" t="s">
        <v>32</v>
      </c>
      <c r="AC13" s="47" t="s">
        <v>32</v>
      </c>
      <c r="AD13" s="47" t="s">
        <v>32</v>
      </c>
      <c r="AE13" s="47" t="s">
        <v>31</v>
      </c>
    </row>
    <row r="14" spans="1:31" s="8" customFormat="1" ht="21.75" customHeight="1" x14ac:dyDescent="0.35">
      <c r="A14" s="12" t="s">
        <v>48</v>
      </c>
      <c r="B14" s="13" t="s">
        <v>227</v>
      </c>
      <c r="C14" s="14" t="s">
        <v>106</v>
      </c>
      <c r="D14" s="14" t="s">
        <v>106</v>
      </c>
      <c r="E14" s="14" t="s">
        <v>106</v>
      </c>
      <c r="F14" s="14" t="s">
        <v>106</v>
      </c>
      <c r="G14" s="44" t="s">
        <v>106</v>
      </c>
      <c r="H14" s="14">
        <v>0.10402754746499698</v>
      </c>
      <c r="I14" s="14">
        <v>0.1202713508069724</v>
      </c>
      <c r="J14" s="14">
        <v>0.27565543071161042</v>
      </c>
      <c r="K14" s="44">
        <v>0.86494037663179113</v>
      </c>
      <c r="L14" s="14">
        <v>0.11160809094167368</v>
      </c>
      <c r="M14" s="14">
        <v>0.10589510587967345</v>
      </c>
      <c r="N14" s="14">
        <v>0.12098548174219091</v>
      </c>
      <c r="O14" s="44">
        <v>1.0539494721171703</v>
      </c>
      <c r="P14" s="14">
        <v>0.12558244130367457</v>
      </c>
      <c r="Q14" s="14">
        <v>9.8454463865343067E-2</v>
      </c>
      <c r="R14" s="14">
        <v>0.12098548174219091</v>
      </c>
      <c r="S14" s="44">
        <v>1.2755383186630791</v>
      </c>
      <c r="T14" s="14">
        <v>9.0885247414550507E-2</v>
      </c>
      <c r="U14" s="14">
        <v>9.7100566474417629E-2</v>
      </c>
      <c r="V14" s="14">
        <v>7.6485063451171828E-2</v>
      </c>
      <c r="W14" s="44">
        <v>0.93599090833826781</v>
      </c>
      <c r="X14" s="31" t="s">
        <v>106</v>
      </c>
      <c r="Y14" s="33">
        <v>8</v>
      </c>
      <c r="Z14" s="33" t="s">
        <v>108</v>
      </c>
      <c r="AA14" s="47" t="s">
        <v>106</v>
      </c>
      <c r="AB14" s="47" t="s">
        <v>108</v>
      </c>
      <c r="AC14" s="47" t="s">
        <v>108</v>
      </c>
      <c r="AD14" s="47" t="s">
        <v>106</v>
      </c>
      <c r="AE14" s="47" t="s">
        <v>33</v>
      </c>
    </row>
    <row r="15" spans="1:31" s="8" customFormat="1" ht="21.75" customHeight="1" x14ac:dyDescent="0.35">
      <c r="A15" s="12" t="s">
        <v>74</v>
      </c>
      <c r="B15" s="13" t="s">
        <v>186</v>
      </c>
      <c r="C15" s="14" t="s">
        <v>106</v>
      </c>
      <c r="D15" s="14" t="s">
        <v>106</v>
      </c>
      <c r="E15" s="14" t="s">
        <v>106</v>
      </c>
      <c r="F15" s="14" t="s">
        <v>106</v>
      </c>
      <c r="G15" s="44" t="s">
        <v>106</v>
      </c>
      <c r="H15" s="14">
        <v>7.6880494884711714E-2</v>
      </c>
      <c r="I15" s="14">
        <v>0.16237827005808142</v>
      </c>
      <c r="J15" s="14">
        <v>0.39584120982986765</v>
      </c>
      <c r="K15" s="44">
        <v>0.47346541416663801</v>
      </c>
      <c r="L15" s="14">
        <v>8.5314291626384042E-2</v>
      </c>
      <c r="M15" s="14">
        <v>0.1312725092591589</v>
      </c>
      <c r="N15" s="14">
        <v>0.16147164026571284</v>
      </c>
      <c r="O15" s="44">
        <v>0.64990219283426742</v>
      </c>
      <c r="P15" s="14">
        <v>9.4834669763557811E-2</v>
      </c>
      <c r="Q15" s="14">
        <v>0.12138548633443408</v>
      </c>
      <c r="R15" s="14">
        <v>0.16147164026571284</v>
      </c>
      <c r="S15" s="44">
        <v>0.78126860654720254</v>
      </c>
      <c r="T15" s="14">
        <v>0.12015323441179926</v>
      </c>
      <c r="U15" s="14">
        <v>0.10732241435597989</v>
      </c>
      <c r="V15" s="14">
        <v>8.7270973963355786E-2</v>
      </c>
      <c r="W15" s="44">
        <v>1.1195539639395418</v>
      </c>
      <c r="X15" s="31">
        <v>45838</v>
      </c>
      <c r="Y15" s="33">
        <v>8</v>
      </c>
      <c r="Z15" s="33" t="s">
        <v>108</v>
      </c>
      <c r="AA15" s="47" t="s">
        <v>108</v>
      </c>
      <c r="AB15" s="47" t="s">
        <v>108</v>
      </c>
      <c r="AC15" s="47" t="s">
        <v>108</v>
      </c>
      <c r="AD15" s="47" t="s">
        <v>108</v>
      </c>
      <c r="AE15" s="47" t="s">
        <v>33</v>
      </c>
    </row>
    <row r="16" spans="1:31" s="8" customFormat="1" ht="21.75" customHeight="1" x14ac:dyDescent="0.35">
      <c r="A16" s="12" t="s">
        <v>49</v>
      </c>
      <c r="B16" s="13" t="s">
        <v>112</v>
      </c>
      <c r="C16" s="14">
        <v>0.10285226201711395</v>
      </c>
      <c r="D16" s="14">
        <v>5.1156102722772268</v>
      </c>
      <c r="E16" s="14">
        <v>0.15859251934069121</v>
      </c>
      <c r="F16" s="14">
        <v>0.42608217821782179</v>
      </c>
      <c r="G16" s="44">
        <v>0.6485316107260074</v>
      </c>
      <c r="H16" s="14">
        <v>0.14075632217302325</v>
      </c>
      <c r="I16" s="14">
        <v>0.15263905738213659</v>
      </c>
      <c r="J16" s="14">
        <v>0.32280182232346238</v>
      </c>
      <c r="K16" s="44">
        <v>0.92215141122521116</v>
      </c>
      <c r="L16" s="14">
        <v>0.14076912228706218</v>
      </c>
      <c r="M16" s="14">
        <v>0.14112733539324343</v>
      </c>
      <c r="N16" s="14">
        <v>0.21353700943864884</v>
      </c>
      <c r="O16" s="44">
        <v>0.99746177375783995</v>
      </c>
      <c r="P16" s="14">
        <v>0.19461807337247627</v>
      </c>
      <c r="Q16" s="14">
        <v>0.13317316052661518</v>
      </c>
      <c r="R16" s="14">
        <v>0.21353700943864884</v>
      </c>
      <c r="S16" s="44">
        <v>1.461391113666489</v>
      </c>
      <c r="T16" s="14">
        <v>0.32958964440618299</v>
      </c>
      <c r="U16" s="14">
        <v>0.11158347631845435</v>
      </c>
      <c r="V16" s="14">
        <v>7.3119462939525606E-2</v>
      </c>
      <c r="W16" s="44">
        <v>2.9537495629330333</v>
      </c>
      <c r="X16" s="31">
        <v>43465</v>
      </c>
      <c r="Y16" s="33">
        <v>8</v>
      </c>
      <c r="Z16" s="33" t="s">
        <v>107</v>
      </c>
      <c r="AA16" s="47" t="s">
        <v>106</v>
      </c>
      <c r="AB16" s="47" t="s">
        <v>108</v>
      </c>
      <c r="AC16" s="47" t="s">
        <v>108</v>
      </c>
      <c r="AD16" s="47" t="s">
        <v>106</v>
      </c>
      <c r="AE16" s="47" t="s">
        <v>33</v>
      </c>
    </row>
    <row r="17" spans="1:31" s="8" customFormat="1" ht="21.75" customHeight="1" x14ac:dyDescent="0.35">
      <c r="A17" s="12" t="s">
        <v>248</v>
      </c>
      <c r="B17" s="13" t="s">
        <v>113</v>
      </c>
      <c r="C17" s="14">
        <v>7.9331781308797256E-2</v>
      </c>
      <c r="D17" s="14">
        <v>3.104542305247282</v>
      </c>
      <c r="E17" s="14">
        <v>0.16987924876400606</v>
      </c>
      <c r="F17" s="14">
        <v>0.48669950738916312</v>
      </c>
      <c r="G17" s="44">
        <v>0.46698924021617194</v>
      </c>
      <c r="H17" s="14">
        <v>0.1095779333822926</v>
      </c>
      <c r="I17" s="14">
        <v>0.15628748177439952</v>
      </c>
      <c r="J17" s="14">
        <v>0.3313341292001914</v>
      </c>
      <c r="K17" s="44">
        <v>0.70113058408905704</v>
      </c>
      <c r="L17" s="14">
        <v>9.9574333011221983E-2</v>
      </c>
      <c r="M17" s="14">
        <v>0.15041388466753916</v>
      </c>
      <c r="N17" s="14">
        <v>0.21142425106336804</v>
      </c>
      <c r="O17" s="44">
        <v>0.6620022694800537</v>
      </c>
      <c r="P17" s="14">
        <v>0.13090501300477131</v>
      </c>
      <c r="Q17" s="14">
        <v>0.13715852651962235</v>
      </c>
      <c r="R17" s="14">
        <v>0.21142425106336804</v>
      </c>
      <c r="S17" s="44">
        <v>0.95440667325952655</v>
      </c>
      <c r="T17" s="14">
        <v>0.1893349934552393</v>
      </c>
      <c r="U17" s="14">
        <v>0.11646124529808058</v>
      </c>
      <c r="V17" s="14">
        <v>8.7748990298366275E-2</v>
      </c>
      <c r="W17" s="44">
        <v>1.6257338908805208</v>
      </c>
      <c r="X17" s="31">
        <v>44561</v>
      </c>
      <c r="Y17" s="33">
        <v>8</v>
      </c>
      <c r="Z17" s="33" t="s">
        <v>107</v>
      </c>
      <c r="AA17" s="47" t="s">
        <v>106</v>
      </c>
      <c r="AB17" s="47" t="s">
        <v>108</v>
      </c>
      <c r="AC17" s="47" t="s">
        <v>108</v>
      </c>
      <c r="AD17" s="47" t="s">
        <v>106</v>
      </c>
      <c r="AE17" s="47" t="s">
        <v>33</v>
      </c>
    </row>
    <row r="18" spans="1:31" s="8" customFormat="1" ht="21.75" customHeight="1" x14ac:dyDescent="0.35">
      <c r="A18" s="12" t="s">
        <v>50</v>
      </c>
      <c r="B18" s="13" t="s">
        <v>86</v>
      </c>
      <c r="C18" s="14">
        <v>7.1179197909482017E-2</v>
      </c>
      <c r="D18" s="14">
        <v>2.5674461839530331</v>
      </c>
      <c r="E18" s="14">
        <v>0.14566815632135952</v>
      </c>
      <c r="F18" s="14">
        <v>0.47973161867486724</v>
      </c>
      <c r="G18" s="44">
        <v>0.48863938218901531</v>
      </c>
      <c r="H18" s="14">
        <v>9.8436549544267171E-2</v>
      </c>
      <c r="I18" s="14">
        <v>0.1318741965568335</v>
      </c>
      <c r="J18" s="14">
        <v>0.33159459339398556</v>
      </c>
      <c r="K18" s="44">
        <v>0.74644283805622436</v>
      </c>
      <c r="L18" s="14">
        <v>8.8354905519896443E-2</v>
      </c>
      <c r="M18" s="14">
        <v>0.11979122782741945</v>
      </c>
      <c r="N18" s="14">
        <v>0.20075097110024007</v>
      </c>
      <c r="O18" s="44">
        <v>0.73757408720434336</v>
      </c>
      <c r="P18" s="14">
        <v>0.14182537115875138</v>
      </c>
      <c r="Q18" s="14">
        <v>0.1076127441446518</v>
      </c>
      <c r="R18" s="14">
        <v>0.16969925647927611</v>
      </c>
      <c r="S18" s="44">
        <v>1.3179235627344599</v>
      </c>
      <c r="T18" s="14">
        <v>0.21941069733649243</v>
      </c>
      <c r="U18" s="14">
        <v>0.10275425021757958</v>
      </c>
      <c r="V18" s="14">
        <v>8.7025034010124611E-2</v>
      </c>
      <c r="W18" s="44">
        <v>2.1352955899332211</v>
      </c>
      <c r="X18" s="31">
        <v>42370</v>
      </c>
      <c r="Y18" s="33">
        <v>8</v>
      </c>
      <c r="Z18" s="33" t="s">
        <v>32</v>
      </c>
      <c r="AA18" s="47" t="s">
        <v>32</v>
      </c>
      <c r="AB18" s="47" t="s">
        <v>32</v>
      </c>
      <c r="AC18" s="47" t="s">
        <v>32</v>
      </c>
      <c r="AD18" s="47" t="s">
        <v>32</v>
      </c>
      <c r="AE18" s="47" t="s">
        <v>31</v>
      </c>
    </row>
    <row r="19" spans="1:31" s="8" customFormat="1" ht="21.75" customHeight="1" x14ac:dyDescent="0.35">
      <c r="A19" s="12" t="s">
        <v>59</v>
      </c>
      <c r="B19" s="13" t="s">
        <v>228</v>
      </c>
      <c r="C19" s="14">
        <v>0.10981993860312111</v>
      </c>
      <c r="D19" s="14">
        <v>5.8711952971913783</v>
      </c>
      <c r="E19" s="14">
        <v>0.1993780300836317</v>
      </c>
      <c r="F19" s="14">
        <v>0.36773350751143041</v>
      </c>
      <c r="G19" s="44">
        <v>0.55081263746590192</v>
      </c>
      <c r="H19" s="14">
        <v>0.11110373642688653</v>
      </c>
      <c r="I19" s="14">
        <v>0.19455634247513998</v>
      </c>
      <c r="J19" s="14">
        <v>0.33503334641035698</v>
      </c>
      <c r="K19" s="44">
        <v>0.57106201223474973</v>
      </c>
      <c r="L19" s="14">
        <v>7.6030571676882097E-2</v>
      </c>
      <c r="M19" s="14">
        <v>0.2081713593604109</v>
      </c>
      <c r="N19" s="14">
        <v>0.30322920659256414</v>
      </c>
      <c r="O19" s="44">
        <v>0.36523070181450357</v>
      </c>
      <c r="P19" s="14">
        <v>0.17319647409852612</v>
      </c>
      <c r="Q19" s="14">
        <v>0.20705256211956771</v>
      </c>
      <c r="R19" s="14">
        <v>0.25687180734614445</v>
      </c>
      <c r="S19" s="44">
        <v>0.83648553935067682</v>
      </c>
      <c r="T19" s="14">
        <v>0.29366720751836173</v>
      </c>
      <c r="U19" s="14">
        <v>0.21654983235991573</v>
      </c>
      <c r="V19" s="14">
        <v>0.16422902093784583</v>
      </c>
      <c r="W19" s="44">
        <v>1.3561183784722279</v>
      </c>
      <c r="X19" s="31">
        <v>42369</v>
      </c>
      <c r="Y19" s="33">
        <v>8</v>
      </c>
      <c r="Z19" s="33" t="s">
        <v>108</v>
      </c>
      <c r="AA19" s="47" t="s">
        <v>108</v>
      </c>
      <c r="AB19" s="47" t="s">
        <v>108</v>
      </c>
      <c r="AC19" s="47" t="s">
        <v>108</v>
      </c>
      <c r="AD19" s="47" t="s">
        <v>108</v>
      </c>
      <c r="AE19" s="47" t="s">
        <v>33</v>
      </c>
    </row>
    <row r="20" spans="1:31" s="8" customFormat="1" ht="21.75" customHeight="1" x14ac:dyDescent="0.35">
      <c r="A20" s="12" t="s">
        <v>42</v>
      </c>
      <c r="B20" s="13" t="s">
        <v>45</v>
      </c>
      <c r="C20" s="14">
        <v>9.0985135548544038E-2</v>
      </c>
      <c r="D20" s="14">
        <v>4.0064736391246765</v>
      </c>
      <c r="E20" s="14">
        <v>0.16712647613414433</v>
      </c>
      <c r="F20" s="14">
        <v>0.50183007553928927</v>
      </c>
      <c r="G20" s="44">
        <v>0.54440886718340586</v>
      </c>
      <c r="H20" s="14">
        <v>0.11186775793897397</v>
      </c>
      <c r="I20" s="14">
        <v>0.14941316573229346</v>
      </c>
      <c r="J20" s="14">
        <v>0.38360582805027243</v>
      </c>
      <c r="K20" s="44">
        <v>0.7487141938978098</v>
      </c>
      <c r="L20" s="14">
        <v>0.12876931250546075</v>
      </c>
      <c r="M20" s="14">
        <v>0.12191207263004647</v>
      </c>
      <c r="N20" s="14">
        <v>0.13644944990560515</v>
      </c>
      <c r="O20" s="44">
        <v>1.0562474226504475</v>
      </c>
      <c r="P20" s="14">
        <v>0.16924626772119011</v>
      </c>
      <c r="Q20" s="14">
        <v>0.103919097201953</v>
      </c>
      <c r="R20" s="14">
        <v>0.13644944990560515</v>
      </c>
      <c r="S20" s="44">
        <v>1.6286348927019874</v>
      </c>
      <c r="T20" s="14">
        <v>0.21101463840902879</v>
      </c>
      <c r="U20" s="14">
        <v>9.7470195778138036E-2</v>
      </c>
      <c r="V20" s="14">
        <v>7.4730631803451131E-2</v>
      </c>
      <c r="W20" s="44">
        <v>2.1649144820570685</v>
      </c>
      <c r="X20" s="31">
        <v>42916</v>
      </c>
      <c r="Y20" s="33">
        <v>8</v>
      </c>
      <c r="Z20" s="33" t="s">
        <v>108</v>
      </c>
      <c r="AA20" s="47" t="s">
        <v>108</v>
      </c>
      <c r="AB20" s="47" t="s">
        <v>108</v>
      </c>
      <c r="AC20" s="47" t="s">
        <v>108</v>
      </c>
      <c r="AD20" s="47" t="s">
        <v>108</v>
      </c>
      <c r="AE20" s="47" t="s">
        <v>33</v>
      </c>
    </row>
    <row r="21" spans="1:31" s="8" customFormat="1" ht="21.75" customHeight="1" x14ac:dyDescent="0.35">
      <c r="A21" s="12" t="s">
        <v>150</v>
      </c>
      <c r="B21" s="13" t="s">
        <v>187</v>
      </c>
      <c r="C21" s="14">
        <v>6.4262781136862346E-2</v>
      </c>
      <c r="D21" s="14">
        <v>2.1646148761833084</v>
      </c>
      <c r="E21" s="14">
        <v>0.14287570762030466</v>
      </c>
      <c r="F21" s="14">
        <v>0.49056770879461514</v>
      </c>
      <c r="G21" s="44">
        <v>0.44978101741159598</v>
      </c>
      <c r="H21" s="14">
        <v>9.4160738163078905E-2</v>
      </c>
      <c r="I21" s="14">
        <v>0.11848451928847366</v>
      </c>
      <c r="J21" s="14">
        <v>0.32173460209250571</v>
      </c>
      <c r="K21" s="44">
        <v>0.79470920529142064</v>
      </c>
      <c r="L21" s="14">
        <v>9.580413418460032E-2</v>
      </c>
      <c r="M21" s="14">
        <v>0.122018146807675</v>
      </c>
      <c r="N21" s="14">
        <v>0.19998229461756356</v>
      </c>
      <c r="O21" s="44">
        <v>0.78516299985777349</v>
      </c>
      <c r="P21" s="14">
        <v>0.13969602402080317</v>
      </c>
      <c r="Q21" s="14">
        <v>0.11835394889996557</v>
      </c>
      <c r="R21" s="14">
        <v>0.19998229461756356</v>
      </c>
      <c r="S21" s="44">
        <v>1.1803241490393888</v>
      </c>
      <c r="T21" s="14">
        <v>0.20697576481773305</v>
      </c>
      <c r="U21" s="14">
        <v>0.10242886911600556</v>
      </c>
      <c r="V21" s="14">
        <v>8.8706982960239475E-2</v>
      </c>
      <c r="W21" s="44">
        <v>2.0206780237251589</v>
      </c>
      <c r="X21" s="31" t="s">
        <v>106</v>
      </c>
      <c r="Y21" s="33">
        <v>8</v>
      </c>
      <c r="Z21" s="33" t="s">
        <v>108</v>
      </c>
      <c r="AA21" s="47" t="s">
        <v>108</v>
      </c>
      <c r="AB21" s="47" t="s">
        <v>108</v>
      </c>
      <c r="AC21" s="47" t="s">
        <v>108</v>
      </c>
      <c r="AD21" s="47" t="s">
        <v>108</v>
      </c>
      <c r="AE21" s="47" t="s">
        <v>54</v>
      </c>
    </row>
    <row r="22" spans="1:31" s="8" customFormat="1" ht="21.75" customHeight="1" x14ac:dyDescent="0.35">
      <c r="A22" s="12" t="s">
        <v>60</v>
      </c>
      <c r="B22" s="13" t="s">
        <v>87</v>
      </c>
      <c r="C22" s="14">
        <v>9.4723016253547287E-2</v>
      </c>
      <c r="D22" s="14">
        <v>4.3334416500628521</v>
      </c>
      <c r="E22" s="14">
        <v>0.16124386385113476</v>
      </c>
      <c r="F22" s="14">
        <v>0.48546703038284261</v>
      </c>
      <c r="G22" s="44">
        <v>0.5874519128430119</v>
      </c>
      <c r="H22" s="14">
        <v>0.12703102413585832</v>
      </c>
      <c r="I22" s="14">
        <v>0.15070839905956887</v>
      </c>
      <c r="J22" s="14">
        <v>0.33757219726514293</v>
      </c>
      <c r="K22" s="44">
        <v>0.84289279780384463</v>
      </c>
      <c r="L22" s="14">
        <v>0.1220400820617773</v>
      </c>
      <c r="M22" s="14">
        <v>0.13962700234611766</v>
      </c>
      <c r="N22" s="14">
        <v>0.20304114983481608</v>
      </c>
      <c r="O22" s="44">
        <v>0.87404355899051234</v>
      </c>
      <c r="P22" s="14">
        <v>0.17280908907517234</v>
      </c>
      <c r="Q22" s="14">
        <v>0.12792892536949033</v>
      </c>
      <c r="R22" s="14">
        <v>0.20304114983481608</v>
      </c>
      <c r="S22" s="44">
        <v>1.3508210795647428</v>
      </c>
      <c r="T22" s="14">
        <v>0.24459331894436742</v>
      </c>
      <c r="U22" s="14">
        <v>0.1053570469635943</v>
      </c>
      <c r="V22" s="14">
        <v>6.5983907643869188E-2</v>
      </c>
      <c r="W22" s="44">
        <v>2.3215658182682897</v>
      </c>
      <c r="X22" s="31">
        <v>41640</v>
      </c>
      <c r="Y22" s="33">
        <v>6</v>
      </c>
      <c r="Z22" s="33" t="s">
        <v>108</v>
      </c>
      <c r="AA22" s="47" t="s">
        <v>106</v>
      </c>
      <c r="AB22" s="47" t="s">
        <v>108</v>
      </c>
      <c r="AC22" s="47" t="s">
        <v>108</v>
      </c>
      <c r="AD22" s="47" t="s">
        <v>106</v>
      </c>
      <c r="AE22" s="47" t="s">
        <v>33</v>
      </c>
    </row>
    <row r="23" spans="1:31" s="8" customFormat="1" ht="21.75" customHeight="1" x14ac:dyDescent="0.35">
      <c r="A23" s="12"/>
      <c r="B23" s="13"/>
      <c r="C23" s="14"/>
      <c r="D23" s="14"/>
      <c r="E23" s="14"/>
      <c r="F23" s="14"/>
      <c r="G23" s="44"/>
      <c r="H23" s="14"/>
      <c r="I23" s="14"/>
      <c r="J23" s="14"/>
      <c r="K23" s="44"/>
      <c r="L23" s="14"/>
      <c r="M23" s="14"/>
      <c r="N23" s="14"/>
      <c r="O23" s="44"/>
      <c r="P23" s="14"/>
      <c r="Q23" s="14"/>
      <c r="R23" s="14"/>
      <c r="S23" s="44"/>
      <c r="T23" s="14"/>
      <c r="U23" s="14"/>
      <c r="V23" s="14"/>
      <c r="W23" s="44"/>
      <c r="X23" s="31"/>
      <c r="Y23" s="33"/>
      <c r="Z23" s="33"/>
      <c r="AA23" s="33"/>
      <c r="AB23" s="33"/>
      <c r="AC23" s="33"/>
      <c r="AD23" s="47"/>
      <c r="AE23" s="47"/>
    </row>
    <row r="24" spans="1:31" s="1" customFormat="1" ht="21.75" customHeight="1" x14ac:dyDescent="0.35">
      <c r="A24" s="36" t="s">
        <v>2</v>
      </c>
      <c r="B24" s="36" t="s">
        <v>3</v>
      </c>
      <c r="C24" s="37">
        <f>AVERAGE(Table1[Performance annualisée depuis 01/08])</f>
        <v>8.5189772651150561E-2</v>
      </c>
      <c r="D24" s="37">
        <f>AVERAGE(Table1[Perf. Totale depuis 01/08])</f>
        <v>3.6439862536849721</v>
      </c>
      <c r="E24" s="37">
        <f>AVERAGE(Table1[Volatilité annualisée depuis 01/08])</f>
        <v>0.16099030653802904</v>
      </c>
      <c r="F24" s="37">
        <f>AVERAGE(Table1[Max Drawdown depuis 01/08])</f>
        <v>0.48026166849495738</v>
      </c>
      <c r="G24" s="42">
        <f>AVERAGE(Table1[Couple Rendement / Risque depuis 01/08])</f>
        <v>0.53123707419750388</v>
      </c>
      <c r="H24" s="37">
        <f>AVERAGE(Table1[Performance annualisée 10 ans])</f>
        <v>0.10964673276122722</v>
      </c>
      <c r="I24" s="37">
        <f>AVERAGE(Table1[Volatilité annualisée 10 ans])</f>
        <v>0.14699018755846779</v>
      </c>
      <c r="J24" s="37">
        <f>AVERAGE(Table1[Max Drawdown 10 ans])</f>
        <v>0.32510169706080672</v>
      </c>
      <c r="K24" s="42">
        <f>AVERAGE(Table1[Couple Rendement Risque 10 ans])</f>
        <v>0.75398822094922557</v>
      </c>
      <c r="L24" s="37">
        <f>AVERAGE(Table1[Performance annualisée 5 ans])</f>
        <v>9.8328644104065097E-2</v>
      </c>
      <c r="M24" s="37">
        <f>AVERAGE(Table1[Volatilité annualisée 5 ans])</f>
        <v>0.13722695563503393</v>
      </c>
      <c r="N24" s="37">
        <f>AVERAGE(Table1[Max Drawdown 5 ans])</f>
        <v>0.21168317225441297</v>
      </c>
      <c r="O24" s="42">
        <f>AVERAGE(Table1[Couple Rendement Risque 5 ans])</f>
        <v>0.72799450341678407</v>
      </c>
      <c r="P24" s="37">
        <f>AVERAGE(Table1[Performance annualisée 3 ans])</f>
        <v>0.15244289544956421</v>
      </c>
      <c r="Q24" s="37">
        <f>AVERAGE(Table1[Volatilité annualisée 3 ans])</f>
        <v>0.12808525365995518</v>
      </c>
      <c r="R24" s="37">
        <f>AVERAGE(Table1[Max Drawdown 3 ans])</f>
        <v>0.1890359019384435</v>
      </c>
      <c r="S24" s="42">
        <f>AVERAGE(Table1[Couple Rendement Risque 3 ans])</f>
        <v>1.2015577776404873</v>
      </c>
      <c r="T24" s="37">
        <f>AVERAGE(Table1[Performance annualisée 1 an])</f>
        <v>0.22800014930074117</v>
      </c>
      <c r="U24" s="37">
        <f>AVERAGE(Table1[Volatilité annualisée 1 an])</f>
        <v>0.11592208198124754</v>
      </c>
      <c r="V24" s="37">
        <f>AVERAGE(Table1[Max Drawdown 1 an])</f>
        <v>8.5309491929008718E-2</v>
      </c>
      <c r="W24" s="42">
        <f>AVERAGE(Table1[Couple Rendement Risque 1 an])</f>
        <v>1.9793402170069263</v>
      </c>
      <c r="X24" s="38"/>
      <c r="Y24" s="37"/>
      <c r="Z24" s="37"/>
      <c r="AA24" s="37"/>
      <c r="AB24" s="37"/>
      <c r="AC24" s="37"/>
      <c r="AD24" s="37"/>
      <c r="AE24" s="37"/>
    </row>
    <row r="25" spans="1:31" ht="21.75" customHeight="1" x14ac:dyDescent="0.35">
      <c r="A25" s="7"/>
      <c r="AD25" s="1"/>
      <c r="AE25" s="1"/>
    </row>
    <row r="26" spans="1:31" ht="21.75" customHeight="1" x14ac:dyDescent="0.35">
      <c r="E26" s="2"/>
      <c r="F26" s="2"/>
    </row>
    <row r="27" spans="1:31" ht="21.75" customHeight="1" x14ac:dyDescent="0.35">
      <c r="C27" s="29"/>
      <c r="D27" s="29"/>
      <c r="E27" s="29"/>
      <c r="F27" s="29"/>
      <c r="G27" s="26"/>
      <c r="H27" s="29"/>
      <c r="I27" s="29"/>
      <c r="J27" s="29"/>
      <c r="K27" s="26"/>
      <c r="L27" s="29"/>
      <c r="M27" s="29"/>
      <c r="N27" s="29"/>
      <c r="O27" s="26"/>
      <c r="P27" s="29"/>
      <c r="Q27" s="29"/>
      <c r="R27" s="29"/>
      <c r="S27" s="26"/>
      <c r="T27" s="29"/>
      <c r="U27" s="29"/>
      <c r="V27" s="29"/>
      <c r="W27" s="26"/>
    </row>
    <row r="28" spans="1:31" ht="21.75" customHeight="1" x14ac:dyDescent="0.35">
      <c r="E28" s="2"/>
      <c r="F28" s="2"/>
    </row>
    <row r="29" spans="1:31" x14ac:dyDescent="0.35">
      <c r="E29" s="2"/>
      <c r="F29" s="2"/>
      <c r="AB29" s="6"/>
    </row>
    <row r="30" spans="1:31" x14ac:dyDescent="0.35">
      <c r="E30" s="2"/>
      <c r="F30" s="2"/>
    </row>
    <row r="31" spans="1:31" x14ac:dyDescent="0.35">
      <c r="E31" s="2"/>
      <c r="F31" s="2"/>
    </row>
    <row r="32" spans="1:31" x14ac:dyDescent="0.35">
      <c r="E32" s="2"/>
      <c r="F32" s="2"/>
    </row>
    <row r="33" spans="5:6" x14ac:dyDescent="0.35">
      <c r="E33" s="2"/>
      <c r="F33" s="2"/>
    </row>
    <row r="34" spans="5:6" x14ac:dyDescent="0.35">
      <c r="E34" s="2"/>
      <c r="F34" s="2"/>
    </row>
    <row r="35" spans="5:6" x14ac:dyDescent="0.35">
      <c r="E35" s="2"/>
      <c r="F35" s="2"/>
    </row>
    <row r="36" spans="5:6" x14ac:dyDescent="0.35">
      <c r="E36" s="2"/>
      <c r="F36" s="2"/>
    </row>
    <row r="37" spans="5:6" x14ac:dyDescent="0.35">
      <c r="E37" s="2"/>
      <c r="F37" s="2"/>
    </row>
    <row r="38" spans="5:6" x14ac:dyDescent="0.35">
      <c r="E38" s="2"/>
      <c r="F38" s="2"/>
    </row>
    <row r="39" spans="5:6" x14ac:dyDescent="0.35">
      <c r="E39" s="2"/>
      <c r="F39" s="2"/>
    </row>
    <row r="40" spans="5:6" x14ac:dyDescent="0.35">
      <c r="E40" s="2"/>
      <c r="F40" s="2"/>
    </row>
    <row r="41" spans="5:6" x14ac:dyDescent="0.35">
      <c r="E41" s="2"/>
      <c r="F41" s="2"/>
    </row>
    <row r="42" spans="5:6" x14ac:dyDescent="0.35">
      <c r="E42" s="2"/>
      <c r="F42" s="2"/>
    </row>
    <row r="43" spans="5:6" x14ac:dyDescent="0.35">
      <c r="E43" s="2"/>
      <c r="F43" s="2"/>
    </row>
    <row r="44" spans="5:6" x14ac:dyDescent="0.35">
      <c r="E44" s="2"/>
      <c r="F44" s="2"/>
    </row>
    <row r="45" spans="5:6" x14ac:dyDescent="0.35">
      <c r="E45" s="2"/>
      <c r="F45" s="2"/>
    </row>
    <row r="46" spans="5:6" x14ac:dyDescent="0.35">
      <c r="E46" s="2"/>
      <c r="F46" s="2"/>
    </row>
    <row r="47" spans="5:6" x14ac:dyDescent="0.35">
      <c r="E47" s="2"/>
      <c r="F47" s="2"/>
    </row>
    <row r="48" spans="5:6" x14ac:dyDescent="0.35">
      <c r="E48" s="2"/>
      <c r="F48" s="2"/>
    </row>
    <row r="49" spans="5:6" x14ac:dyDescent="0.35">
      <c r="E49" s="2"/>
      <c r="F49" s="2"/>
    </row>
    <row r="50" spans="5:6" x14ac:dyDescent="0.35">
      <c r="E50" s="2"/>
      <c r="F50" s="2"/>
    </row>
    <row r="51" spans="5:6" x14ac:dyDescent="0.35">
      <c r="E51" s="2"/>
      <c r="F51" s="2"/>
    </row>
    <row r="52" spans="5:6" x14ac:dyDescent="0.35">
      <c r="E52" s="2"/>
      <c r="F52" s="2"/>
    </row>
  </sheetData>
  <sheetProtection selectLockedCells="1"/>
  <phoneticPr fontId="22" type="noConversion"/>
  <conditionalFormatting sqref="C4:C23">
    <cfRule type="iconSet" priority="461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23">
    <cfRule type="iconSet" priority="461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23">
    <cfRule type="iconSet" priority="461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23">
    <cfRule type="iconSet" priority="461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23">
    <cfRule type="iconSet" priority="461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32:X32">
    <cfRule type="iconSet" priority="5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23">
    <cfRule type="iconSet" priority="461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23">
    <cfRule type="iconSet" priority="462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23">
    <cfRule type="iconSet" priority="462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23">
    <cfRule type="iconSet" priority="462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23">
    <cfRule type="iconSet" priority="462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23">
    <cfRule type="iconSet" priority="4624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23">
    <cfRule type="iconSet" priority="462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23">
    <cfRule type="iconSet" priority="462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23">
    <cfRule type="iconSet" priority="462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23">
    <cfRule type="iconSet" priority="462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23">
    <cfRule type="iconSet" priority="462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23">
    <cfRule type="iconSet" priority="4630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23">
    <cfRule type="iconSet" priority="463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23">
    <cfRule type="iconSet" priority="463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23">
    <cfRule type="iconSet" priority="463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23">
    <cfRule type="iconSet" priority="463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tabColor rgb="FF008000"/>
    <pageSetUpPr fitToPage="1"/>
  </sheetPr>
  <dimension ref="A1:AE44"/>
  <sheetViews>
    <sheetView showGridLines="0" zoomScale="70" zoomScaleNormal="70" workbookViewId="0">
      <pane xSplit="1" topLeftCell="B1" activePane="topRight" state="frozen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148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12" customFormat="1" ht="21" customHeight="1" x14ac:dyDescent="0.35">
      <c r="A4" s="12" t="s">
        <v>47</v>
      </c>
      <c r="B4" s="13" t="s">
        <v>88</v>
      </c>
      <c r="C4" s="21">
        <v>4.1394868049307698E-2</v>
      </c>
      <c r="D4" s="21">
        <v>1.1175382136940812</v>
      </c>
      <c r="E4" s="21">
        <v>0.14586292816149091</v>
      </c>
      <c r="F4" s="21">
        <v>0.45727306375497356</v>
      </c>
      <c r="G4" s="41">
        <v>0.28379293197431027</v>
      </c>
      <c r="H4" s="21">
        <v>6.1637532243299376E-2</v>
      </c>
      <c r="I4" s="21">
        <v>0.18242173048588334</v>
      </c>
      <c r="J4" s="21">
        <v>0.45727306375497356</v>
      </c>
      <c r="K4" s="41">
        <v>0.3378848127310643</v>
      </c>
      <c r="L4" s="21">
        <v>-4.5922885171529648E-2</v>
      </c>
      <c r="M4" s="21">
        <v>0.19369810727057651</v>
      </c>
      <c r="N4" s="21">
        <v>0.45727306375497356</v>
      </c>
      <c r="O4" s="41">
        <v>-0.23708484207013988</v>
      </c>
      <c r="P4" s="21">
        <v>1.0076986845489078E-2</v>
      </c>
      <c r="Q4" s="21">
        <v>0.16020441777656427</v>
      </c>
      <c r="R4" s="21">
        <v>0.18907054716394175</v>
      </c>
      <c r="S4" s="41">
        <v>6.2900805017395742E-2</v>
      </c>
      <c r="T4" s="21">
        <v>-5.5089483667043582E-2</v>
      </c>
      <c r="U4" s="21">
        <v>0.14781281094844512</v>
      </c>
      <c r="V4" s="21">
        <v>0.17223023332862564</v>
      </c>
      <c r="W4" s="41">
        <v>-0.37269762555464808</v>
      </c>
      <c r="X4" s="31">
        <v>42185</v>
      </c>
      <c r="Y4" s="33">
        <v>6</v>
      </c>
      <c r="Z4" s="33" t="s">
        <v>108</v>
      </c>
      <c r="AA4" s="47" t="s">
        <v>106</v>
      </c>
      <c r="AB4" s="47" t="s">
        <v>108</v>
      </c>
      <c r="AC4" s="47" t="s">
        <v>108</v>
      </c>
      <c r="AD4" s="47" t="s">
        <v>106</v>
      </c>
      <c r="AE4" s="47" t="s">
        <v>29</v>
      </c>
    </row>
    <row r="5" spans="1:31" s="12" customFormat="1" ht="21" customHeight="1" x14ac:dyDescent="0.35">
      <c r="A5" s="12" t="s">
        <v>68</v>
      </c>
      <c r="B5" s="13" t="s">
        <v>188</v>
      </c>
      <c r="C5" s="14" t="s">
        <v>106</v>
      </c>
      <c r="D5" s="14" t="s">
        <v>106</v>
      </c>
      <c r="E5" s="14" t="s">
        <v>106</v>
      </c>
      <c r="F5" s="14" t="s">
        <v>106</v>
      </c>
      <c r="G5" s="44" t="s">
        <v>106</v>
      </c>
      <c r="H5" s="14">
        <v>8.3656352113027355E-2</v>
      </c>
      <c r="I5" s="14">
        <v>0.14534807083154697</v>
      </c>
      <c r="J5" s="14">
        <v>0.3525716529250098</v>
      </c>
      <c r="K5" s="44">
        <v>0.5755587372740707</v>
      </c>
      <c r="L5" s="14">
        <v>3.567520303749161E-2</v>
      </c>
      <c r="M5" s="14">
        <v>0.14245336403779402</v>
      </c>
      <c r="N5" s="14">
        <v>0.30151612214392476</v>
      </c>
      <c r="O5" s="44">
        <v>0.25043426161579935</v>
      </c>
      <c r="P5" s="14">
        <v>9.394771426193449E-2</v>
      </c>
      <c r="Q5" s="14">
        <v>0.1205773862822126</v>
      </c>
      <c r="R5" s="14">
        <v>0.13526338793264919</v>
      </c>
      <c r="S5" s="44">
        <v>0.77914870407000625</v>
      </c>
      <c r="T5" s="14">
        <v>0.10629023397077275</v>
      </c>
      <c r="U5" s="14">
        <v>0.11746217150669429</v>
      </c>
      <c r="V5" s="14">
        <v>9.566153027375543E-2</v>
      </c>
      <c r="W5" s="44">
        <v>0.90488906008957248</v>
      </c>
      <c r="X5" s="31">
        <v>45838</v>
      </c>
      <c r="Y5" s="33">
        <v>6</v>
      </c>
      <c r="Z5" s="33" t="s">
        <v>108</v>
      </c>
      <c r="AA5" s="47" t="s">
        <v>108</v>
      </c>
      <c r="AB5" s="47" t="s">
        <v>108</v>
      </c>
      <c r="AC5" s="47" t="s">
        <v>108</v>
      </c>
      <c r="AD5" s="47" t="s">
        <v>108</v>
      </c>
      <c r="AE5" s="47" t="s">
        <v>31</v>
      </c>
    </row>
    <row r="6" spans="1:31" s="12" customFormat="1" ht="21" customHeight="1" x14ac:dyDescent="0.35">
      <c r="A6" s="12" t="s">
        <v>241</v>
      </c>
      <c r="B6" s="13" t="s">
        <v>249</v>
      </c>
      <c r="C6" s="14" t="s">
        <v>106</v>
      </c>
      <c r="D6" s="14" t="s">
        <v>106</v>
      </c>
      <c r="E6" s="14" t="s">
        <v>106</v>
      </c>
      <c r="F6" s="14" t="s">
        <v>106</v>
      </c>
      <c r="G6" s="44" t="s">
        <v>106</v>
      </c>
      <c r="H6" s="14">
        <v>6.229644227889275E-2</v>
      </c>
      <c r="I6" s="14">
        <v>0.13947495353365327</v>
      </c>
      <c r="J6" s="14">
        <v>0.46039373166433323</v>
      </c>
      <c r="K6" s="44">
        <v>0.44664967222133922</v>
      </c>
      <c r="L6" s="14">
        <v>-2.9381744203319737E-2</v>
      </c>
      <c r="M6" s="14">
        <v>0.13430553816137683</v>
      </c>
      <c r="N6" s="14">
        <v>0.46039373166433323</v>
      </c>
      <c r="O6" s="44">
        <v>-0.21876792726161198</v>
      </c>
      <c r="P6" s="14">
        <v>7.9082770171063022E-2</v>
      </c>
      <c r="Q6" s="14">
        <v>0.11115905368646556</v>
      </c>
      <c r="R6" s="14">
        <v>0.17600311647837935</v>
      </c>
      <c r="S6" s="44">
        <v>0.71143795802835208</v>
      </c>
      <c r="T6" s="14">
        <v>8.4800406594393696E-2</v>
      </c>
      <c r="U6" s="14">
        <v>9.3806380904790945E-2</v>
      </c>
      <c r="V6" s="14">
        <v>8.8989250047706941E-2</v>
      </c>
      <c r="W6" s="44">
        <v>0.90399401167029469</v>
      </c>
      <c r="X6" s="31">
        <v>42185</v>
      </c>
      <c r="Y6" s="33">
        <v>8</v>
      </c>
      <c r="Z6" s="33" t="s">
        <v>107</v>
      </c>
      <c r="AA6" s="47" t="s">
        <v>108</v>
      </c>
      <c r="AB6" s="47" t="s">
        <v>108</v>
      </c>
      <c r="AC6" s="47" t="s">
        <v>108</v>
      </c>
      <c r="AD6" s="47" t="s">
        <v>108</v>
      </c>
      <c r="AE6" s="47" t="s">
        <v>33</v>
      </c>
    </row>
    <row r="7" spans="1:31" s="12" customFormat="1" ht="21" customHeight="1" x14ac:dyDescent="0.35">
      <c r="A7" s="12" t="s">
        <v>27</v>
      </c>
      <c r="B7" s="13" t="s">
        <v>229</v>
      </c>
      <c r="C7" s="14" t="s">
        <v>106</v>
      </c>
      <c r="D7" s="14" t="s">
        <v>106</v>
      </c>
      <c r="E7" s="14" t="s">
        <v>106</v>
      </c>
      <c r="F7" s="14" t="s">
        <v>106</v>
      </c>
      <c r="G7" s="44" t="s">
        <v>106</v>
      </c>
      <c r="H7" s="14" t="s">
        <v>106</v>
      </c>
      <c r="I7" s="14" t="s">
        <v>106</v>
      </c>
      <c r="J7" s="14" t="s">
        <v>106</v>
      </c>
      <c r="K7" s="44" t="s">
        <v>106</v>
      </c>
      <c r="L7" s="14">
        <v>-7.0026043468429666E-4</v>
      </c>
      <c r="M7" s="14">
        <v>0.16643307030362864</v>
      </c>
      <c r="N7" s="14">
        <v>0.38444717803670803</v>
      </c>
      <c r="O7" s="44">
        <v>-4.207459691795575E-3</v>
      </c>
      <c r="P7" s="14">
        <v>7.2119458597030173E-2</v>
      </c>
      <c r="Q7" s="14">
        <v>0.1516863439156344</v>
      </c>
      <c r="R7" s="14">
        <v>0.22332322996813556</v>
      </c>
      <c r="S7" s="44">
        <v>0.47545122873514506</v>
      </c>
      <c r="T7" s="14">
        <v>0.14602316378230062</v>
      </c>
      <c r="U7" s="14">
        <v>0.15432962286110977</v>
      </c>
      <c r="V7" s="14">
        <v>8.6508163849899747E-2</v>
      </c>
      <c r="W7" s="44">
        <v>0.94617715688786064</v>
      </c>
      <c r="X7" s="31" t="s">
        <v>106</v>
      </c>
      <c r="Y7" s="33" t="s">
        <v>208</v>
      </c>
      <c r="Z7" s="33" t="s">
        <v>107</v>
      </c>
      <c r="AA7" s="47" t="s">
        <v>108</v>
      </c>
      <c r="AB7" s="47" t="s">
        <v>108</v>
      </c>
      <c r="AC7" s="47" t="s">
        <v>108</v>
      </c>
      <c r="AD7" s="47" t="s">
        <v>108</v>
      </c>
      <c r="AE7" s="47" t="s">
        <v>31</v>
      </c>
    </row>
    <row r="8" spans="1:31" s="12" customFormat="1" ht="21" customHeight="1" x14ac:dyDescent="0.35">
      <c r="A8" s="12" t="s">
        <v>131</v>
      </c>
      <c r="B8" s="13" t="s">
        <v>250</v>
      </c>
      <c r="C8" s="14" t="s">
        <v>106</v>
      </c>
      <c r="D8" s="14" t="s">
        <v>106</v>
      </c>
      <c r="E8" s="14" t="s">
        <v>106</v>
      </c>
      <c r="F8" s="14" t="s">
        <v>106</v>
      </c>
      <c r="G8" s="44" t="s">
        <v>106</v>
      </c>
      <c r="H8" s="14">
        <v>7.203907490264716E-2</v>
      </c>
      <c r="I8" s="14">
        <v>0.16571264774190356</v>
      </c>
      <c r="J8" s="14">
        <v>0.53320383888384137</v>
      </c>
      <c r="K8" s="44">
        <v>0.43472285238509728</v>
      </c>
      <c r="L8" s="14">
        <v>-5.0354162366499811E-2</v>
      </c>
      <c r="M8" s="14">
        <v>0.17215911546370816</v>
      </c>
      <c r="N8" s="14">
        <v>0.53320383888384137</v>
      </c>
      <c r="O8" s="44">
        <v>-0.29248618193042863</v>
      </c>
      <c r="P8" s="14">
        <v>6.5328892299566732E-2</v>
      </c>
      <c r="Q8" s="14">
        <v>0.13059417665403839</v>
      </c>
      <c r="R8" s="14">
        <v>0.18396743099167515</v>
      </c>
      <c r="S8" s="44">
        <v>0.50024353285393264</v>
      </c>
      <c r="T8" s="14">
        <v>6.9509622782635061E-2</v>
      </c>
      <c r="U8" s="14">
        <v>0.12953146819915415</v>
      </c>
      <c r="V8" s="14">
        <v>0.10354976433538358</v>
      </c>
      <c r="W8" s="44">
        <v>0.53662344563071174</v>
      </c>
      <c r="X8" s="31">
        <v>42185</v>
      </c>
      <c r="Y8" s="33">
        <v>8</v>
      </c>
      <c r="Z8" s="33" t="s">
        <v>108</v>
      </c>
      <c r="AA8" s="47" t="s">
        <v>108</v>
      </c>
      <c r="AB8" s="47" t="s">
        <v>108</v>
      </c>
      <c r="AC8" s="47" t="s">
        <v>108</v>
      </c>
      <c r="AD8" s="47" t="s">
        <v>108</v>
      </c>
      <c r="AE8" s="47" t="s">
        <v>31</v>
      </c>
    </row>
    <row r="9" spans="1:31" s="12" customFormat="1" ht="21" customHeight="1" x14ac:dyDescent="0.35">
      <c r="A9" s="12" t="s">
        <v>149</v>
      </c>
      <c r="B9" s="13" t="s">
        <v>189</v>
      </c>
      <c r="C9" s="14" t="s">
        <v>106</v>
      </c>
      <c r="D9" s="14" t="s">
        <v>106</v>
      </c>
      <c r="E9" s="14" t="s">
        <v>106</v>
      </c>
      <c r="F9" s="14" t="s">
        <v>106</v>
      </c>
      <c r="G9" s="44" t="s">
        <v>106</v>
      </c>
      <c r="H9" s="14">
        <v>6.0530394406314691E-2</v>
      </c>
      <c r="I9" s="14">
        <v>0.12970742538553079</v>
      </c>
      <c r="J9" s="14">
        <v>0.35382622142349646</v>
      </c>
      <c r="K9" s="44">
        <v>0.46666869091264085</v>
      </c>
      <c r="L9" s="14">
        <v>-2.9496294460633621E-3</v>
      </c>
      <c r="M9" s="14">
        <v>0.13559316716053491</v>
      </c>
      <c r="N9" s="14">
        <v>0.35107088354470339</v>
      </c>
      <c r="O9" s="44">
        <v>-2.175352569625549E-2</v>
      </c>
      <c r="P9" s="14">
        <v>5.3854921269353762E-2</v>
      </c>
      <c r="Q9" s="14">
        <v>0.11651404529653732</v>
      </c>
      <c r="R9" s="14">
        <v>0.16195938782722152</v>
      </c>
      <c r="S9" s="44">
        <v>0.46221827705225405</v>
      </c>
      <c r="T9" s="14">
        <v>6.972856471736244E-2</v>
      </c>
      <c r="U9" s="14">
        <v>0.12185835573090989</v>
      </c>
      <c r="V9" s="14">
        <v>9.6782557454331175E-2</v>
      </c>
      <c r="W9" s="44">
        <v>0.57220995884220271</v>
      </c>
      <c r="X9" s="31" t="s">
        <v>106</v>
      </c>
      <c r="Y9" s="33">
        <v>6</v>
      </c>
      <c r="Z9" s="33" t="s">
        <v>32</v>
      </c>
      <c r="AA9" s="47" t="s">
        <v>32</v>
      </c>
      <c r="AB9" s="47" t="s">
        <v>32</v>
      </c>
      <c r="AC9" s="47" t="s">
        <v>32</v>
      </c>
      <c r="AD9" s="47" t="s">
        <v>32</v>
      </c>
      <c r="AE9" s="47" t="s">
        <v>31</v>
      </c>
    </row>
    <row r="10" spans="1:31" s="12" customFormat="1" ht="21" customHeight="1" x14ac:dyDescent="0.35">
      <c r="A10" s="12" t="s">
        <v>251</v>
      </c>
      <c r="B10" s="13" t="s">
        <v>111</v>
      </c>
      <c r="C10" s="14" t="s">
        <v>106</v>
      </c>
      <c r="D10" s="14" t="s">
        <v>106</v>
      </c>
      <c r="E10" s="14" t="s">
        <v>106</v>
      </c>
      <c r="F10" s="14" t="s">
        <v>106</v>
      </c>
      <c r="G10" s="44" t="s">
        <v>106</v>
      </c>
      <c r="H10" s="14">
        <v>5.7192584206713803E-2</v>
      </c>
      <c r="I10" s="14">
        <v>0.16971843162587302</v>
      </c>
      <c r="J10" s="14">
        <v>0.45088781343271001</v>
      </c>
      <c r="K10" s="44">
        <v>0.33698510915295887</v>
      </c>
      <c r="L10" s="14">
        <v>-4.9252743203266336E-3</v>
      </c>
      <c r="M10" s="14">
        <v>0.17504788838970861</v>
      </c>
      <c r="N10" s="14">
        <v>0.40133962786099453</v>
      </c>
      <c r="O10" s="44">
        <v>-2.8136725130676866E-2</v>
      </c>
      <c r="P10" s="14">
        <v>7.2385198697480835E-2</v>
      </c>
      <c r="Q10" s="14">
        <v>0.16561185521960695</v>
      </c>
      <c r="R10" s="14">
        <v>0.18475105912577369</v>
      </c>
      <c r="S10" s="44">
        <v>0.4370773976385664</v>
      </c>
      <c r="T10" s="14">
        <v>0.10323468116721579</v>
      </c>
      <c r="U10" s="14">
        <v>0.17990030121811412</v>
      </c>
      <c r="V10" s="14">
        <v>0.13079910810616421</v>
      </c>
      <c r="W10" s="44">
        <v>0.57384384833270707</v>
      </c>
      <c r="X10" s="31">
        <v>42185</v>
      </c>
      <c r="Y10" s="33">
        <v>6</v>
      </c>
      <c r="Z10" s="33" t="s">
        <v>108</v>
      </c>
      <c r="AA10" s="47" t="s">
        <v>106</v>
      </c>
      <c r="AB10" s="47" t="s">
        <v>108</v>
      </c>
      <c r="AC10" s="47" t="s">
        <v>108</v>
      </c>
      <c r="AD10" s="47" t="s">
        <v>106</v>
      </c>
      <c r="AE10" s="47" t="s">
        <v>29</v>
      </c>
    </row>
    <row r="11" spans="1:31" s="12" customFormat="1" ht="21" customHeight="1" x14ac:dyDescent="0.35">
      <c r="A11" s="12" t="s">
        <v>57</v>
      </c>
      <c r="B11" s="13" t="s">
        <v>230</v>
      </c>
      <c r="C11" s="14" t="s">
        <v>106</v>
      </c>
      <c r="D11" s="14" t="s">
        <v>106</v>
      </c>
      <c r="E11" s="14" t="s">
        <v>106</v>
      </c>
      <c r="F11" s="14" t="s">
        <v>106</v>
      </c>
      <c r="G11" s="44" t="s">
        <v>106</v>
      </c>
      <c r="H11" s="14">
        <v>8.421536991927403E-2</v>
      </c>
      <c r="I11" s="14">
        <v>0.1427634308456516</v>
      </c>
      <c r="J11" s="14">
        <v>0.41954778964190331</v>
      </c>
      <c r="K11" s="44">
        <v>0.5898945508694261</v>
      </c>
      <c r="L11" s="14">
        <v>-1.0851604608360654E-3</v>
      </c>
      <c r="M11" s="14">
        <v>0.16103163024555253</v>
      </c>
      <c r="N11" s="14">
        <v>0.41954778964190331</v>
      </c>
      <c r="O11" s="44">
        <v>-6.738803172900475E-3</v>
      </c>
      <c r="P11" s="14">
        <v>0.10298039416312865</v>
      </c>
      <c r="Q11" s="14">
        <v>0.14607144757222534</v>
      </c>
      <c r="R11" s="14">
        <v>0.16387061046322093</v>
      </c>
      <c r="S11" s="44">
        <v>0.70500016173393343</v>
      </c>
      <c r="T11" s="14">
        <v>8.5920810069954667E-2</v>
      </c>
      <c r="U11" s="14">
        <v>0.15673325501131308</v>
      </c>
      <c r="V11" s="14">
        <v>0.12057306785970348</v>
      </c>
      <c r="W11" s="44">
        <v>0.54819770101598964</v>
      </c>
      <c r="X11" s="31">
        <v>43646</v>
      </c>
      <c r="Y11" s="33">
        <v>8</v>
      </c>
      <c r="Z11" s="33" t="s">
        <v>108</v>
      </c>
      <c r="AA11" s="47" t="s">
        <v>106</v>
      </c>
      <c r="AB11" s="47" t="s">
        <v>108</v>
      </c>
      <c r="AC11" s="47" t="s">
        <v>108</v>
      </c>
      <c r="AD11" s="47" t="s">
        <v>106</v>
      </c>
      <c r="AE11" s="47" t="s">
        <v>33</v>
      </c>
    </row>
    <row r="12" spans="1:31" s="12" customFormat="1" ht="21" customHeight="1" x14ac:dyDescent="0.35">
      <c r="A12" s="12" t="s">
        <v>58</v>
      </c>
      <c r="B12" s="13" t="s">
        <v>89</v>
      </c>
      <c r="C12" s="14" t="s">
        <v>106</v>
      </c>
      <c r="D12" s="14" t="s">
        <v>106</v>
      </c>
      <c r="E12" s="14" t="s">
        <v>106</v>
      </c>
      <c r="F12" s="14" t="s">
        <v>106</v>
      </c>
      <c r="G12" s="44" t="s">
        <v>106</v>
      </c>
      <c r="H12" s="14">
        <v>6.8550832643048842E-2</v>
      </c>
      <c r="I12" s="14">
        <v>0.11828937096143553</v>
      </c>
      <c r="J12" s="14">
        <v>0.39160594578839991</v>
      </c>
      <c r="K12" s="44">
        <v>0.57951810958059491</v>
      </c>
      <c r="L12" s="14">
        <v>1.0181863646870903E-2</v>
      </c>
      <c r="M12" s="14">
        <v>0.11163897444758132</v>
      </c>
      <c r="N12" s="14">
        <v>0.3080402678611025</v>
      </c>
      <c r="O12" s="44">
        <v>9.1203486033917924E-2</v>
      </c>
      <c r="P12" s="14">
        <v>4.710676722602769E-2</v>
      </c>
      <c r="Q12" s="14">
        <v>0.10187040813337227</v>
      </c>
      <c r="R12" s="14">
        <v>0.13731527093596071</v>
      </c>
      <c r="S12" s="44">
        <v>0.46241855794230136</v>
      </c>
      <c r="T12" s="14">
        <v>-3.457803730673259E-2</v>
      </c>
      <c r="U12" s="14">
        <v>0.10766113152921657</v>
      </c>
      <c r="V12" s="14">
        <v>0.13731527093596071</v>
      </c>
      <c r="W12" s="44">
        <v>-0.32117475281549468</v>
      </c>
      <c r="X12" s="31">
        <v>43830</v>
      </c>
      <c r="Y12" s="35">
        <v>8</v>
      </c>
      <c r="Z12" s="33" t="s">
        <v>108</v>
      </c>
      <c r="AA12" s="47" t="s">
        <v>106</v>
      </c>
      <c r="AB12" s="47" t="s">
        <v>108</v>
      </c>
      <c r="AC12" s="47" t="s">
        <v>108</v>
      </c>
      <c r="AD12" s="47" t="s">
        <v>106</v>
      </c>
      <c r="AE12" s="47" t="s">
        <v>29</v>
      </c>
    </row>
    <row r="13" spans="1:31" s="12" customFormat="1" ht="21" customHeight="1" x14ac:dyDescent="0.35">
      <c r="A13" s="12" t="s">
        <v>50</v>
      </c>
      <c r="B13" s="13" t="s">
        <v>90</v>
      </c>
      <c r="C13" s="14" t="s">
        <v>106</v>
      </c>
      <c r="D13" s="14" t="s">
        <v>106</v>
      </c>
      <c r="E13" s="14" t="s">
        <v>106</v>
      </c>
      <c r="F13" s="14" t="s">
        <v>106</v>
      </c>
      <c r="G13" s="44" t="s">
        <v>106</v>
      </c>
      <c r="H13" s="14">
        <v>8.2009477827849731E-2</v>
      </c>
      <c r="I13" s="14">
        <v>0.15946617859171111</v>
      </c>
      <c r="J13" s="14">
        <v>0.40292886997364646</v>
      </c>
      <c r="K13" s="44">
        <v>0.5142750553885318</v>
      </c>
      <c r="L13" s="14">
        <v>6.3174312555533962E-3</v>
      </c>
      <c r="M13" s="14">
        <v>0.15997484084726635</v>
      </c>
      <c r="N13" s="14">
        <v>0.37947765810628759</v>
      </c>
      <c r="O13" s="44">
        <v>3.9490154964960222E-2</v>
      </c>
      <c r="P13" s="14">
        <v>6.0769213517354315E-2</v>
      </c>
      <c r="Q13" s="14">
        <v>0.14078608849925831</v>
      </c>
      <c r="R13" s="14">
        <v>0.20665610977190155</v>
      </c>
      <c r="S13" s="44">
        <v>0.43164217548152467</v>
      </c>
      <c r="T13" s="14">
        <v>0.11726064167311123</v>
      </c>
      <c r="U13" s="14">
        <v>0.1453614177444103</v>
      </c>
      <c r="V13" s="14">
        <v>9.5707690944227888E-2</v>
      </c>
      <c r="W13" s="44">
        <v>0.8066833929708308</v>
      </c>
      <c r="X13" s="31">
        <v>42370</v>
      </c>
      <c r="Y13" s="33">
        <v>8</v>
      </c>
      <c r="Z13" s="33" t="s">
        <v>190</v>
      </c>
      <c r="AA13" s="47" t="s">
        <v>32</v>
      </c>
      <c r="AB13" s="47" t="s">
        <v>32</v>
      </c>
      <c r="AC13" s="47" t="s">
        <v>32</v>
      </c>
      <c r="AD13" s="47" t="s">
        <v>32</v>
      </c>
      <c r="AE13" s="47" t="s">
        <v>31</v>
      </c>
    </row>
    <row r="14" spans="1:31" s="12" customFormat="1" ht="21" customHeight="1" x14ac:dyDescent="0.35">
      <c r="A14" s="12" t="s">
        <v>150</v>
      </c>
      <c r="B14" s="13" t="s">
        <v>143</v>
      </c>
      <c r="C14" s="14">
        <v>1.4436555009435192E-2</v>
      </c>
      <c r="D14" s="14">
        <v>0.30359084454633445</v>
      </c>
      <c r="E14" s="14">
        <v>0.19070565646212584</v>
      </c>
      <c r="F14" s="14">
        <v>0.52199106394861772</v>
      </c>
      <c r="G14" s="44">
        <v>7.570071741580614E-2</v>
      </c>
      <c r="H14" s="14">
        <v>4.277698519599471E-2</v>
      </c>
      <c r="I14" s="14">
        <v>0.15744963285141134</v>
      </c>
      <c r="J14" s="14">
        <v>0.52199106394861772</v>
      </c>
      <c r="K14" s="44">
        <v>0.27168678911029465</v>
      </c>
      <c r="L14" s="14">
        <v>3.758108403575755E-2</v>
      </c>
      <c r="M14" s="14">
        <v>0.15405832456549823</v>
      </c>
      <c r="N14" s="14">
        <v>0.31881339446991852</v>
      </c>
      <c r="O14" s="44">
        <v>0.24394062535569036</v>
      </c>
      <c r="P14" s="14">
        <v>0.10506115840329189</v>
      </c>
      <c r="Q14" s="14">
        <v>0.13804420254850489</v>
      </c>
      <c r="R14" s="14">
        <v>0.14385379540456325</v>
      </c>
      <c r="S14" s="44">
        <v>0.76106896532924895</v>
      </c>
      <c r="T14" s="14">
        <v>0.16409721022010304</v>
      </c>
      <c r="U14" s="14">
        <v>0.13730466022968416</v>
      </c>
      <c r="V14" s="14">
        <v>0.10645161290322554</v>
      </c>
      <c r="W14" s="44">
        <v>1.1951321240342472</v>
      </c>
      <c r="X14" s="31" t="s">
        <v>106</v>
      </c>
      <c r="Y14" s="33">
        <v>8</v>
      </c>
      <c r="Z14" s="33" t="s">
        <v>108</v>
      </c>
      <c r="AA14" s="47" t="s">
        <v>108</v>
      </c>
      <c r="AB14" s="47" t="s">
        <v>108</v>
      </c>
      <c r="AC14" s="47" t="s">
        <v>108</v>
      </c>
      <c r="AD14" s="47" t="s">
        <v>108</v>
      </c>
      <c r="AE14" s="47" t="s">
        <v>54</v>
      </c>
    </row>
    <row r="15" spans="1:31" s="12" customFormat="1" ht="21" customHeight="1" x14ac:dyDescent="0.35">
      <c r="B15" s="13"/>
      <c r="C15" s="14"/>
      <c r="D15" s="14"/>
      <c r="E15" s="14"/>
      <c r="F15" s="14"/>
      <c r="G15" s="44"/>
      <c r="H15" s="14"/>
      <c r="I15" s="14"/>
      <c r="J15" s="14"/>
      <c r="K15" s="44"/>
      <c r="L15" s="14"/>
      <c r="M15" s="14"/>
      <c r="N15" s="14"/>
      <c r="O15" s="44"/>
      <c r="P15" s="14"/>
      <c r="Q15" s="14"/>
      <c r="R15" s="14"/>
      <c r="S15" s="44"/>
      <c r="T15" s="14"/>
      <c r="U15" s="14"/>
      <c r="V15" s="14"/>
      <c r="W15" s="44"/>
      <c r="X15" s="31"/>
      <c r="Y15" s="33"/>
      <c r="Z15" s="33"/>
      <c r="AA15" s="33"/>
      <c r="AB15" s="33"/>
      <c r="AC15" s="33"/>
      <c r="AD15" s="47"/>
      <c r="AE15" s="47"/>
    </row>
    <row r="16" spans="1:31" s="8" customFormat="1" ht="21.75" customHeight="1" x14ac:dyDescent="0.35">
      <c r="A16" s="36" t="s">
        <v>2</v>
      </c>
      <c r="B16" s="36" t="s">
        <v>3</v>
      </c>
      <c r="C16" s="37">
        <f>AVERAGE(Table5[Performance annualisée depuis 01/08])</f>
        <v>2.7915711529371445E-2</v>
      </c>
      <c r="D16" s="37">
        <f>AVERAGE(Table5[Perf. Totale depuis 01/08])</f>
        <v>0.71056452912020784</v>
      </c>
      <c r="E16" s="37">
        <f>AVERAGE(Table5[Volatilité annualisée depuis 01/08])</f>
        <v>0.16828429231180836</v>
      </c>
      <c r="F16" s="37">
        <f>AVERAGE(Table5[Max Drawdown depuis 01/08])</f>
        <v>0.48963206385179564</v>
      </c>
      <c r="G16" s="42">
        <f>AVERAGE(Table5[Couple Rendement / Risque depuis 01/08])</f>
        <v>0.1797468246950582</v>
      </c>
      <c r="H16" s="37">
        <f>AVERAGE(Table5[Performance annualisée 10 ans])</f>
        <v>6.7490504573706242E-2</v>
      </c>
      <c r="I16" s="37">
        <f>AVERAGE(Table5[Volatilité annualisée 10 ans])</f>
        <v>0.15103518728546</v>
      </c>
      <c r="J16" s="37">
        <f>AVERAGE(Table5[Max Drawdown 10 ans])</f>
        <v>0.43442299914369309</v>
      </c>
      <c r="K16" s="42">
        <f>AVERAGE(Table5[Couple Rendement Risque 10 ans])</f>
        <v>0.45538443796260186</v>
      </c>
      <c r="L16" s="37">
        <f>AVERAGE(Table5[Performance annualisée 5 ans])</f>
        <v>-4.142139493416918E-3</v>
      </c>
      <c r="M16" s="37">
        <f>AVERAGE(Table5[Volatilité annualisée 5 ans])</f>
        <v>0.15512672917211148</v>
      </c>
      <c r="N16" s="37">
        <f>AVERAGE(Table5[Max Drawdown 5 ans])</f>
        <v>0.39228395963351742</v>
      </c>
      <c r="O16" s="42">
        <f>AVERAGE(Table5[Couple Rendement Risque 5 ans])</f>
        <v>-1.6736994271221908E-2</v>
      </c>
      <c r="P16" s="37">
        <f>AVERAGE(Table5[Performance annualisée 3 ans])</f>
        <v>6.9337588677429146E-2</v>
      </c>
      <c r="Q16" s="37">
        <f>AVERAGE(Table5[Volatilité annualisée 3 ans])</f>
        <v>0.13482903868949275</v>
      </c>
      <c r="R16" s="37">
        <f>AVERAGE(Table5[Max Drawdown 3 ans])</f>
        <v>0.17327581327849295</v>
      </c>
      <c r="S16" s="42">
        <f>AVERAGE(Table5[Couple Rendement Risque 3 ans])</f>
        <v>0.52623706944387827</v>
      </c>
      <c r="T16" s="37">
        <f>AVERAGE(Table5[Performance annualisée 1 an])</f>
        <v>7.7927074000370286E-2</v>
      </c>
      <c r="U16" s="37">
        <f>AVERAGE(Table5[Volatilité annualisée 1 an])</f>
        <v>0.13561468871671295</v>
      </c>
      <c r="V16" s="37">
        <f>AVERAGE(Table5[Max Drawdown 1 an])</f>
        <v>0.1122334772762713</v>
      </c>
      <c r="W16" s="42">
        <f>AVERAGE(Table5[Couple Rendement Risque 1 an])</f>
        <v>0.57217075646402493</v>
      </c>
      <c r="X16" s="38"/>
      <c r="Y16" s="37"/>
      <c r="Z16" s="37"/>
      <c r="AA16" s="37"/>
      <c r="AB16" s="37"/>
      <c r="AC16" s="37"/>
      <c r="AD16" s="37"/>
      <c r="AE16" s="37"/>
    </row>
    <row r="17" spans="1:28" x14ac:dyDescent="0.35">
      <c r="A17" s="7"/>
    </row>
    <row r="18" spans="1:28" x14ac:dyDescent="0.35">
      <c r="E18" s="2"/>
      <c r="F18" s="2"/>
    </row>
    <row r="19" spans="1:28" x14ac:dyDescent="0.35">
      <c r="E19" s="2"/>
      <c r="F19" s="2"/>
    </row>
    <row r="20" spans="1:28" x14ac:dyDescent="0.35">
      <c r="E20" s="2"/>
      <c r="F20" s="2"/>
      <c r="S20" s="2" t="s">
        <v>13</v>
      </c>
    </row>
    <row r="21" spans="1:28" x14ac:dyDescent="0.35">
      <c r="E21" s="2"/>
      <c r="F21" s="2"/>
      <c r="AB21" s="6"/>
    </row>
    <row r="22" spans="1:28" x14ac:dyDescent="0.35">
      <c r="E22" s="2"/>
      <c r="F22" s="2"/>
    </row>
    <row r="23" spans="1:28" x14ac:dyDescent="0.35">
      <c r="E23" s="2"/>
      <c r="F23" s="2"/>
    </row>
    <row r="24" spans="1:28" x14ac:dyDescent="0.35">
      <c r="E24" s="2"/>
      <c r="F24" s="2"/>
    </row>
    <row r="25" spans="1:28" x14ac:dyDescent="0.35">
      <c r="E25" s="2"/>
      <c r="F25" s="2"/>
    </row>
    <row r="26" spans="1:28" x14ac:dyDescent="0.35">
      <c r="E26" s="2"/>
      <c r="F26" s="2"/>
    </row>
    <row r="27" spans="1:28" x14ac:dyDescent="0.35">
      <c r="E27" s="2"/>
      <c r="F27" s="2"/>
    </row>
    <row r="28" spans="1:28" x14ac:dyDescent="0.35">
      <c r="E28" s="2"/>
      <c r="F28" s="2"/>
    </row>
    <row r="29" spans="1:28" x14ac:dyDescent="0.35">
      <c r="E29" s="2"/>
      <c r="F29" s="2"/>
    </row>
    <row r="30" spans="1:28" x14ac:dyDescent="0.35">
      <c r="E30" s="2"/>
      <c r="F30" s="2"/>
    </row>
    <row r="31" spans="1:28" x14ac:dyDescent="0.35">
      <c r="E31" s="2"/>
      <c r="F31" s="2"/>
    </row>
    <row r="32" spans="1:28" x14ac:dyDescent="0.35">
      <c r="E32" s="2"/>
      <c r="F32" s="2"/>
    </row>
    <row r="33" spans="5:6" x14ac:dyDescent="0.35">
      <c r="E33" s="2"/>
      <c r="F33" s="2"/>
    </row>
    <row r="34" spans="5:6" x14ac:dyDescent="0.35">
      <c r="E34" s="2"/>
      <c r="F34" s="2"/>
    </row>
    <row r="35" spans="5:6" x14ac:dyDescent="0.35">
      <c r="E35" s="2"/>
      <c r="F35" s="2"/>
    </row>
    <row r="36" spans="5:6" x14ac:dyDescent="0.35">
      <c r="E36" s="2"/>
      <c r="F36" s="2"/>
    </row>
    <row r="37" spans="5:6" x14ac:dyDescent="0.35">
      <c r="E37" s="2"/>
      <c r="F37" s="2"/>
    </row>
    <row r="38" spans="5:6" x14ac:dyDescent="0.35">
      <c r="E38" s="2"/>
      <c r="F38" s="2"/>
    </row>
    <row r="39" spans="5:6" x14ac:dyDescent="0.35">
      <c r="E39" s="2"/>
      <c r="F39" s="2"/>
    </row>
    <row r="40" spans="5:6" x14ac:dyDescent="0.35">
      <c r="E40" s="2"/>
      <c r="F40" s="2"/>
    </row>
    <row r="41" spans="5:6" x14ac:dyDescent="0.35">
      <c r="E41" s="2"/>
      <c r="F41" s="2"/>
    </row>
    <row r="42" spans="5:6" x14ac:dyDescent="0.35">
      <c r="E42" s="2"/>
      <c r="F42" s="2"/>
    </row>
    <row r="43" spans="5:6" x14ac:dyDescent="0.35">
      <c r="E43" s="2"/>
      <c r="F43" s="2"/>
    </row>
    <row r="44" spans="5:6" x14ac:dyDescent="0.35">
      <c r="E44" s="2"/>
      <c r="F44" s="2"/>
    </row>
  </sheetData>
  <sheetProtection selectLockedCells="1"/>
  <phoneticPr fontId="22" type="noConversion"/>
  <conditionalFormatting sqref="C4:C15">
    <cfRule type="iconSet" priority="288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15">
    <cfRule type="iconSet" priority="288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15">
    <cfRule type="iconSet" priority="288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15">
    <cfRule type="iconSet" priority="289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15">
    <cfRule type="iconSet" priority="289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4:X24">
    <cfRule type="iconSet" priority="5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15">
    <cfRule type="iconSet" priority="289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5">
    <cfRule type="iconSet" priority="289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15">
    <cfRule type="iconSet" priority="2894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5">
    <cfRule type="iconSet" priority="289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15">
    <cfRule type="iconSet" priority="289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15">
    <cfRule type="iconSet" priority="289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15">
    <cfRule type="iconSet" priority="289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5">
    <cfRule type="iconSet" priority="289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15">
    <cfRule type="iconSet" priority="2900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15">
    <cfRule type="iconSet" priority="290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15">
    <cfRule type="iconSet" priority="290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5">
    <cfRule type="iconSet" priority="290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15">
    <cfRule type="iconSet" priority="290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15">
    <cfRule type="iconSet" priority="290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15">
    <cfRule type="iconSet" priority="290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5">
    <cfRule type="iconSet" priority="290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tabColor rgb="FF008000"/>
    <pageSetUpPr fitToPage="1"/>
  </sheetPr>
  <dimension ref="A1:AE40"/>
  <sheetViews>
    <sheetView showGridLines="0" zoomScale="70" zoomScaleNormal="70" workbookViewId="0">
      <pane xSplit="1" topLeftCell="B1" activePane="topRight" state="frozen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20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12" customFormat="1" ht="21.75" customHeight="1" x14ac:dyDescent="0.35">
      <c r="A4" s="12" t="s">
        <v>241</v>
      </c>
      <c r="B4" s="13" t="s">
        <v>256</v>
      </c>
      <c r="C4" s="14" t="s">
        <v>106</v>
      </c>
      <c r="D4" s="14" t="s">
        <v>106</v>
      </c>
      <c r="E4" s="14" t="s">
        <v>106</v>
      </c>
      <c r="F4" s="14" t="s">
        <v>106</v>
      </c>
      <c r="G4" s="44" t="s">
        <v>106</v>
      </c>
      <c r="H4" s="40">
        <v>5.7116680115088414E-2</v>
      </c>
      <c r="I4" s="40">
        <v>0.12500343233081809</v>
      </c>
      <c r="J4" s="40">
        <v>0.25505395956832355</v>
      </c>
      <c r="K4" s="44">
        <v>0.45692089449136658</v>
      </c>
      <c r="L4" s="21">
        <v>3.6657034021531976E-2</v>
      </c>
      <c r="M4" s="21">
        <v>7.7721733585223135E-2</v>
      </c>
      <c r="N4" s="21">
        <v>0.2089775237105366</v>
      </c>
      <c r="O4" s="41">
        <v>0.47164457521186076</v>
      </c>
      <c r="P4" s="21">
        <v>8.7886339688770798E-2</v>
      </c>
      <c r="Q4" s="21">
        <v>6.2728219768534599E-2</v>
      </c>
      <c r="R4" s="21">
        <v>9.2670223577235797E-2</v>
      </c>
      <c r="S4" s="41">
        <v>1.401065421800092</v>
      </c>
      <c r="T4" s="21">
        <v>0.11089335767699904</v>
      </c>
      <c r="U4" s="21">
        <v>5.6188953296746377E-2</v>
      </c>
      <c r="V4" s="21">
        <v>6.4666078258311152E-2</v>
      </c>
      <c r="W4" s="41">
        <v>1.9735793455939019</v>
      </c>
      <c r="X4" s="31">
        <v>42736</v>
      </c>
      <c r="Y4" s="33">
        <v>8</v>
      </c>
      <c r="Z4" s="33" t="s">
        <v>108</v>
      </c>
      <c r="AA4" s="47" t="s">
        <v>108</v>
      </c>
      <c r="AB4" s="47" t="s">
        <v>108</v>
      </c>
      <c r="AC4" s="47" t="s">
        <v>108</v>
      </c>
      <c r="AD4" s="47" t="s">
        <v>108</v>
      </c>
      <c r="AE4" s="47" t="s">
        <v>33</v>
      </c>
    </row>
    <row r="5" spans="1:31" s="12" customFormat="1" ht="21.75" customHeight="1" x14ac:dyDescent="0.35">
      <c r="A5" s="12" t="s">
        <v>27</v>
      </c>
      <c r="B5" s="13" t="s">
        <v>231</v>
      </c>
      <c r="C5" s="14" t="s">
        <v>106</v>
      </c>
      <c r="D5" s="14" t="s">
        <v>106</v>
      </c>
      <c r="E5" s="14" t="s">
        <v>106</v>
      </c>
      <c r="F5" s="14" t="s">
        <v>106</v>
      </c>
      <c r="G5" s="44" t="s">
        <v>106</v>
      </c>
      <c r="H5" s="40" t="s">
        <v>106</v>
      </c>
      <c r="I5" s="40" t="s">
        <v>106</v>
      </c>
      <c r="J5" s="40" t="s">
        <v>106</v>
      </c>
      <c r="K5" s="44" t="s">
        <v>106</v>
      </c>
      <c r="L5" s="14">
        <v>1.5498074917996707E-2</v>
      </c>
      <c r="M5" s="14">
        <v>7.5365850395693587E-2</v>
      </c>
      <c r="N5" s="14">
        <v>0.22477484997168803</v>
      </c>
      <c r="O5" s="41">
        <v>0.2056378961642058</v>
      </c>
      <c r="P5" s="14">
        <v>6.6693740483445563E-2</v>
      </c>
      <c r="Q5" s="14">
        <v>6.9214753367530926E-2</v>
      </c>
      <c r="R5" s="14">
        <v>0.10631644253663775</v>
      </c>
      <c r="S5" s="41">
        <v>0.96357694333318267</v>
      </c>
      <c r="T5" s="14">
        <v>0.11405568024291113</v>
      </c>
      <c r="U5" s="14">
        <v>5.6475085794854996E-2</v>
      </c>
      <c r="V5" s="14">
        <v>5.1793833279488076E-2</v>
      </c>
      <c r="W5" s="44">
        <v>2.019575156684434</v>
      </c>
      <c r="X5" s="31" t="s">
        <v>106</v>
      </c>
      <c r="Y5" s="33" t="s">
        <v>208</v>
      </c>
      <c r="Z5" s="33" t="s">
        <v>108</v>
      </c>
      <c r="AA5" s="47" t="s">
        <v>108</v>
      </c>
      <c r="AB5" s="47" t="s">
        <v>108</v>
      </c>
      <c r="AC5" s="47" t="s">
        <v>108</v>
      </c>
      <c r="AD5" s="47" t="s">
        <v>108</v>
      </c>
      <c r="AE5" s="47" t="s">
        <v>31</v>
      </c>
    </row>
    <row r="6" spans="1:31" s="12" customFormat="1" ht="21.75" customHeight="1" x14ac:dyDescent="0.35">
      <c r="A6" s="12" t="s">
        <v>245</v>
      </c>
      <c r="B6" s="13" t="s">
        <v>257</v>
      </c>
      <c r="C6" s="14">
        <v>3.1998670381458538E-2</v>
      </c>
      <c r="D6" s="14">
        <v>0.79069621445162941</v>
      </c>
      <c r="E6" s="14">
        <v>6.9739385326569925E-2</v>
      </c>
      <c r="F6" s="14">
        <v>0.33773654809476977</v>
      </c>
      <c r="G6" s="44">
        <v>0.45883212522762806</v>
      </c>
      <c r="H6" s="40">
        <v>-7.7103843097463542E-3</v>
      </c>
      <c r="I6" s="40">
        <v>7.7209664866875763E-2</v>
      </c>
      <c r="J6" s="40">
        <v>0.33773654809476977</v>
      </c>
      <c r="K6" s="44">
        <v>-9.986294232775822E-2</v>
      </c>
      <c r="L6" s="14">
        <v>-4.0777237208328265E-2</v>
      </c>
      <c r="M6" s="14">
        <v>9.3125990263301081E-2</v>
      </c>
      <c r="N6" s="14">
        <v>0.32712550384806655</v>
      </c>
      <c r="O6" s="41">
        <v>-0.43787171651046253</v>
      </c>
      <c r="P6" s="14">
        <v>2.7820729414998357E-2</v>
      </c>
      <c r="Q6" s="14">
        <v>7.4631949110120402E-2</v>
      </c>
      <c r="R6" s="14">
        <v>7.2417437152239833E-2</v>
      </c>
      <c r="S6" s="41">
        <v>0.37277238162369997</v>
      </c>
      <c r="T6" s="14">
        <v>1.9209250556194934E-2</v>
      </c>
      <c r="U6" s="14">
        <v>5.4661889065870259E-2</v>
      </c>
      <c r="V6" s="14">
        <v>4.4866521135516958E-2</v>
      </c>
      <c r="W6" s="44">
        <v>0.35141944203660513</v>
      </c>
      <c r="X6" s="31">
        <v>46022</v>
      </c>
      <c r="Y6" s="33">
        <v>8</v>
      </c>
      <c r="Z6" s="33" t="s">
        <v>32</v>
      </c>
      <c r="AA6" s="47" t="s">
        <v>32</v>
      </c>
      <c r="AB6" s="47" t="s">
        <v>32</v>
      </c>
      <c r="AC6" s="47" t="s">
        <v>32</v>
      </c>
      <c r="AD6" s="47" t="s">
        <v>32</v>
      </c>
      <c r="AE6" s="47" t="s">
        <v>247</v>
      </c>
    </row>
    <row r="7" spans="1:31" s="12" customFormat="1" ht="21.75" customHeight="1" x14ac:dyDescent="0.35">
      <c r="A7" s="12" t="s">
        <v>48</v>
      </c>
      <c r="B7" s="13" t="s">
        <v>91</v>
      </c>
      <c r="C7" s="14">
        <v>5.4347236602062976E-2</v>
      </c>
      <c r="D7" s="14">
        <v>1.6615032106164382</v>
      </c>
      <c r="E7" s="14">
        <v>0.15544447570284978</v>
      </c>
      <c r="F7" s="14">
        <v>0.52868150684931503</v>
      </c>
      <c r="G7" s="44">
        <v>0.34962475415307809</v>
      </c>
      <c r="H7" s="40">
        <v>7.8367354544833789E-2</v>
      </c>
      <c r="I7" s="40">
        <v>0.12347268710384597</v>
      </c>
      <c r="J7" s="40">
        <v>0.31137871712951581</v>
      </c>
      <c r="K7" s="44">
        <v>0.63469384511672111</v>
      </c>
      <c r="L7" s="21">
        <v>7.1504661850922968E-2</v>
      </c>
      <c r="M7" s="21">
        <v>0.11499604915328489</v>
      </c>
      <c r="N7" s="21">
        <v>0.22393786189686668</v>
      </c>
      <c r="O7" s="41">
        <v>0.62180103036070633</v>
      </c>
      <c r="P7" s="21">
        <v>0.14228208722370206</v>
      </c>
      <c r="Q7" s="21">
        <v>0.11777324932445359</v>
      </c>
      <c r="R7" s="21">
        <v>0.22393786189686668</v>
      </c>
      <c r="S7" s="41">
        <v>1.208101908029463</v>
      </c>
      <c r="T7" s="21">
        <v>0.25002691229426621</v>
      </c>
      <c r="U7" s="21">
        <v>0.11744242545133618</v>
      </c>
      <c r="V7" s="21">
        <v>7.3053047231657911E-2</v>
      </c>
      <c r="W7" s="41">
        <v>2.1289317836667818</v>
      </c>
      <c r="X7" s="31">
        <v>42736</v>
      </c>
      <c r="Y7" s="33">
        <v>8</v>
      </c>
      <c r="Z7" s="33" t="s">
        <v>108</v>
      </c>
      <c r="AA7" s="47" t="s">
        <v>106</v>
      </c>
      <c r="AB7" s="47" t="s">
        <v>108</v>
      </c>
      <c r="AC7" s="47" t="s">
        <v>108</v>
      </c>
      <c r="AD7" s="47" t="s">
        <v>106</v>
      </c>
      <c r="AE7" s="47" t="s">
        <v>33</v>
      </c>
    </row>
    <row r="8" spans="1:31" s="12" customFormat="1" ht="21.75" customHeight="1" x14ac:dyDescent="0.35">
      <c r="A8" s="12" t="s">
        <v>69</v>
      </c>
      <c r="B8" s="13" t="s">
        <v>110</v>
      </c>
      <c r="C8" s="14" t="s">
        <v>106</v>
      </c>
      <c r="D8" s="14" t="s">
        <v>106</v>
      </c>
      <c r="E8" s="14" t="s">
        <v>106</v>
      </c>
      <c r="F8" s="14" t="s">
        <v>106</v>
      </c>
      <c r="G8" s="44" t="s">
        <v>106</v>
      </c>
      <c r="H8" s="40">
        <v>6.0273212879946803E-2</v>
      </c>
      <c r="I8" s="40">
        <v>8.8803846681538123E-2</v>
      </c>
      <c r="J8" s="40">
        <v>0.26044330775788577</v>
      </c>
      <c r="K8" s="44">
        <v>0.67872299604423891</v>
      </c>
      <c r="L8" s="21">
        <v>3.5668878949572491E-2</v>
      </c>
      <c r="M8" s="21">
        <v>7.5573412646502844E-2</v>
      </c>
      <c r="N8" s="21">
        <v>0.20276923076923076</v>
      </c>
      <c r="O8" s="41">
        <v>0.4719765549878614</v>
      </c>
      <c r="P8" s="21">
        <v>8.1379866592156125E-2</v>
      </c>
      <c r="Q8" s="21">
        <v>6.493336089729726E-2</v>
      </c>
      <c r="R8" s="21">
        <v>9.1773484985256074E-2</v>
      </c>
      <c r="S8" s="41">
        <v>1.2532828343949685</v>
      </c>
      <c r="T8" s="21">
        <v>0.10889805705754507</v>
      </c>
      <c r="U8" s="21">
        <v>6.2743912421214826E-2</v>
      </c>
      <c r="V8" s="21">
        <v>5.7328805885682038E-2</v>
      </c>
      <c r="W8" s="41">
        <v>1.7355955797988254</v>
      </c>
      <c r="X8" s="31" t="s">
        <v>106</v>
      </c>
      <c r="Y8" s="33">
        <v>6</v>
      </c>
      <c r="Z8" s="33" t="s">
        <v>108</v>
      </c>
      <c r="AA8" s="47" t="s">
        <v>106</v>
      </c>
      <c r="AB8" s="47" t="s">
        <v>108</v>
      </c>
      <c r="AC8" s="47" t="s">
        <v>108</v>
      </c>
      <c r="AD8" s="47" t="s">
        <v>106</v>
      </c>
      <c r="AE8" s="47" t="s">
        <v>31</v>
      </c>
    </row>
    <row r="9" spans="1:31" s="12" customFormat="1" ht="21.75" customHeight="1" x14ac:dyDescent="0.35">
      <c r="A9" s="12" t="s">
        <v>58</v>
      </c>
      <c r="B9" s="13" t="s">
        <v>92</v>
      </c>
      <c r="C9" s="14">
        <v>3.773532362708254E-2</v>
      </c>
      <c r="D9" s="14">
        <v>0.98404972292945936</v>
      </c>
      <c r="E9" s="14">
        <v>9.4937871127578399E-2</v>
      </c>
      <c r="F9" s="14">
        <v>0.44473565972742241</v>
      </c>
      <c r="G9" s="44">
        <v>0.39747387611392149</v>
      </c>
      <c r="H9" s="40">
        <v>4.7651597133903101E-2</v>
      </c>
      <c r="I9" s="40">
        <v>6.4348398602542753E-2</v>
      </c>
      <c r="J9" s="40">
        <v>0.1990302687944264</v>
      </c>
      <c r="K9" s="44">
        <v>0.74052498848075654</v>
      </c>
      <c r="L9" s="21">
        <v>3.2207175987776004E-2</v>
      </c>
      <c r="M9" s="21">
        <v>6.2463879478854033E-2</v>
      </c>
      <c r="N9" s="21">
        <v>0.13075965130759651</v>
      </c>
      <c r="O9" s="41">
        <v>0.51561280305491008</v>
      </c>
      <c r="P9" s="21">
        <v>7.126947021888852E-2</v>
      </c>
      <c r="Q9" s="21">
        <v>7.0087469044191733E-2</v>
      </c>
      <c r="R9" s="21">
        <v>0.13075965130759651</v>
      </c>
      <c r="S9" s="41">
        <v>1.0168646577029556</v>
      </c>
      <c r="T9" s="21">
        <v>0.14291850650331916</v>
      </c>
      <c r="U9" s="21">
        <v>8.1228858435948154E-2</v>
      </c>
      <c r="V9" s="21">
        <v>8.3751702665888245E-2</v>
      </c>
      <c r="W9" s="41">
        <v>1.7594548200626936</v>
      </c>
      <c r="X9" s="31">
        <v>43830</v>
      </c>
      <c r="Y9" s="33">
        <v>8</v>
      </c>
      <c r="Z9" s="33" t="s">
        <v>108</v>
      </c>
      <c r="AA9" s="47" t="s">
        <v>106</v>
      </c>
      <c r="AB9" s="47" t="s">
        <v>108</v>
      </c>
      <c r="AC9" s="47" t="s">
        <v>108</v>
      </c>
      <c r="AD9" s="47" t="s">
        <v>106</v>
      </c>
      <c r="AE9" s="47" t="s">
        <v>29</v>
      </c>
    </row>
    <row r="10" spans="1:31" s="12" customFormat="1" ht="21.75" customHeight="1" x14ac:dyDescent="0.35">
      <c r="A10" s="12" t="s">
        <v>50</v>
      </c>
      <c r="B10" s="13" t="s">
        <v>93</v>
      </c>
      <c r="C10" s="14">
        <v>5.0870535264615047E-2</v>
      </c>
      <c r="D10" s="14">
        <v>1.5037681432700247</v>
      </c>
      <c r="E10" s="14">
        <v>0.15740514187780152</v>
      </c>
      <c r="F10" s="14">
        <v>0.48727615457115941</v>
      </c>
      <c r="G10" s="44">
        <v>0.32318216964035024</v>
      </c>
      <c r="H10" s="40">
        <v>7.7140356182521241E-2</v>
      </c>
      <c r="I10" s="40">
        <v>0.10602216633216469</v>
      </c>
      <c r="J10" s="40">
        <v>0.3003653048819046</v>
      </c>
      <c r="K10" s="44">
        <v>0.72758705892541864</v>
      </c>
      <c r="L10" s="21">
        <v>5.4132142193848987E-2</v>
      </c>
      <c r="M10" s="21">
        <v>8.9448847900354955E-2</v>
      </c>
      <c r="N10" s="21">
        <v>0.19239184492802192</v>
      </c>
      <c r="O10" s="41">
        <v>0.60517428077052038</v>
      </c>
      <c r="P10" s="21">
        <v>9.640617244973293E-2</v>
      </c>
      <c r="Q10" s="21">
        <v>7.3141374909762025E-2</v>
      </c>
      <c r="R10" s="21">
        <v>0.10503302628887538</v>
      </c>
      <c r="S10" s="41">
        <v>1.3180798497249169</v>
      </c>
      <c r="T10" s="21">
        <v>0.12264691040431908</v>
      </c>
      <c r="U10" s="21">
        <v>6.8514334677473962E-2</v>
      </c>
      <c r="V10" s="21">
        <v>6.3517412512561169E-2</v>
      </c>
      <c r="W10" s="41">
        <v>1.7900912412222947</v>
      </c>
      <c r="X10" s="31">
        <v>42736</v>
      </c>
      <c r="Y10" s="33">
        <v>8</v>
      </c>
      <c r="Z10" s="33" t="s">
        <v>32</v>
      </c>
      <c r="AA10" s="47" t="s">
        <v>32</v>
      </c>
      <c r="AB10" s="47" t="s">
        <v>32</v>
      </c>
      <c r="AC10" s="47" t="s">
        <v>32</v>
      </c>
      <c r="AD10" s="47" t="s">
        <v>32</v>
      </c>
      <c r="AE10" s="47" t="s">
        <v>31</v>
      </c>
    </row>
    <row r="11" spans="1:31" s="12" customFormat="1" ht="21.75" customHeight="1" x14ac:dyDescent="0.35">
      <c r="B11" s="13"/>
      <c r="C11" s="14"/>
      <c r="D11" s="14"/>
      <c r="E11" s="14"/>
      <c r="F11" s="14"/>
      <c r="G11" s="25"/>
      <c r="H11" s="21"/>
      <c r="I11" s="21"/>
      <c r="J11" s="21"/>
      <c r="K11" s="24"/>
      <c r="L11" s="21"/>
      <c r="M11" s="21"/>
      <c r="N11" s="21"/>
      <c r="O11" s="24"/>
      <c r="P11" s="21"/>
      <c r="Q11" s="21"/>
      <c r="R11" s="21"/>
      <c r="S11" s="24"/>
      <c r="T11" s="21"/>
      <c r="U11" s="21"/>
      <c r="V11" s="21"/>
      <c r="W11" s="23"/>
      <c r="X11" s="16"/>
      <c r="Y11" s="28"/>
      <c r="Z11" s="15"/>
      <c r="AA11" s="15"/>
      <c r="AB11" s="15"/>
      <c r="AC11" s="15"/>
    </row>
    <row r="12" spans="1:31" s="12" customFormat="1" ht="21.75" customHeight="1" x14ac:dyDescent="0.35">
      <c r="A12" s="36" t="s">
        <v>2</v>
      </c>
      <c r="B12" s="36" t="s">
        <v>3</v>
      </c>
      <c r="C12" s="37">
        <f>AVERAGE(Table6[Performance annualisée depuis 01/08])</f>
        <v>4.3737941468804775E-2</v>
      </c>
      <c r="D12" s="37">
        <f>AVERAGE(Table6[Perf. Totale depuis 01/08])</f>
        <v>1.2350043228168879</v>
      </c>
      <c r="E12" s="37">
        <f>AVERAGE(Table6[Volatilité annualisée depuis 01/08])</f>
        <v>0.11938171850869991</v>
      </c>
      <c r="F12" s="37">
        <f>AVERAGE(Table6[Max Drawdown depuis 01/08])</f>
        <v>0.44960746731066664</v>
      </c>
      <c r="G12" s="42">
        <f>AVERAGE(Table6[Couple Rendement / Risque depuis 01/08])</f>
        <v>0.3822782312837445</v>
      </c>
      <c r="H12" s="37">
        <f>AVERAGE(Table6[Performance annualisée 10 ans])</f>
        <v>5.2139802757757835E-2</v>
      </c>
      <c r="I12" s="37">
        <f>AVERAGE(Table6[Volatilité annualisée 10 ans])</f>
        <v>9.7476699319630891E-2</v>
      </c>
      <c r="J12" s="37">
        <f>AVERAGE(Table6[Max Drawdown 10 ans])</f>
        <v>0.27733468437113762</v>
      </c>
      <c r="K12" s="42">
        <f>AVERAGE(Table6[Couple Rendement Risque 10 ans])</f>
        <v>0.52309780678845719</v>
      </c>
      <c r="L12" s="37">
        <f>AVERAGE(Table6[Performance annualisée 5 ans])</f>
        <v>2.9270104387617266E-2</v>
      </c>
      <c r="M12" s="37">
        <f>AVERAGE(Table6[Volatilité annualisée 5 ans])</f>
        <v>8.4099394774744929E-2</v>
      </c>
      <c r="N12" s="37">
        <f>AVERAGE(Table6[Max Drawdown 5 ans])</f>
        <v>0.21581949520457244</v>
      </c>
      <c r="O12" s="42">
        <f>AVERAGE(Table6[Couple Rendement Risque 5 ans])</f>
        <v>0.35056791771994317</v>
      </c>
      <c r="P12" s="37">
        <f>AVERAGE(Table6[Performance annualisée 3 ans])</f>
        <v>8.1962629438813481E-2</v>
      </c>
      <c r="Q12" s="37">
        <f>AVERAGE(Table6[Volatilité annualisée 3 ans])</f>
        <v>7.6072910917412931E-2</v>
      </c>
      <c r="R12" s="37">
        <f>AVERAGE(Table6[Max Drawdown 3 ans])</f>
        <v>0.11755830396352972</v>
      </c>
      <c r="S12" s="42">
        <f>AVERAGE(Table6[Couple Rendement Risque 3 ans])</f>
        <v>1.0762491423727543</v>
      </c>
      <c r="T12" s="37">
        <f>AVERAGE(Table6[Performance annualisée 1 an])</f>
        <v>0.12409266781936494</v>
      </c>
      <c r="U12" s="37">
        <f>AVERAGE(Table6[Volatilité annualisée 1 an])</f>
        <v>7.1036494163349256E-2</v>
      </c>
      <c r="V12" s="37">
        <f>AVERAGE(Table6[Max Drawdown 1 an])</f>
        <v>6.2711057281300789E-2</v>
      </c>
      <c r="W12" s="42">
        <f>AVERAGE(Table6[Couple Rendement Risque 1 an])</f>
        <v>1.6798067670093622</v>
      </c>
      <c r="X12" s="38"/>
      <c r="Y12" s="37"/>
      <c r="Z12" s="37"/>
      <c r="AA12" s="37"/>
      <c r="AB12" s="37"/>
      <c r="AC12" s="37"/>
      <c r="AD12" s="37"/>
      <c r="AE12" s="37"/>
    </row>
    <row r="13" spans="1:31" s="8" customFormat="1" ht="21.75" customHeight="1" x14ac:dyDescent="0.35">
      <c r="A13" s="7"/>
      <c r="B13" s="2"/>
      <c r="C13" s="2"/>
      <c r="D13" s="2"/>
      <c r="E13" s="5"/>
      <c r="F13" s="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1"/>
      <c r="AE13" s="1"/>
    </row>
    <row r="14" spans="1:31" s="1" customForma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x14ac:dyDescent="0.35">
      <c r="E15" s="2"/>
      <c r="F15" s="2"/>
    </row>
    <row r="16" spans="1:31" x14ac:dyDescent="0.35">
      <c r="E16" s="2"/>
      <c r="F16" s="2"/>
    </row>
    <row r="17" spans="5:28" x14ac:dyDescent="0.35">
      <c r="E17" s="2"/>
      <c r="F17" s="2"/>
      <c r="AB17" s="6"/>
    </row>
    <row r="18" spans="5:28" x14ac:dyDescent="0.35">
      <c r="E18" s="2"/>
      <c r="F18" s="2"/>
    </row>
    <row r="19" spans="5:28" x14ac:dyDescent="0.35">
      <c r="E19" s="2"/>
      <c r="F19" s="2"/>
    </row>
    <row r="20" spans="5:28" x14ac:dyDescent="0.35">
      <c r="E20" s="2"/>
      <c r="F20" s="2"/>
    </row>
    <row r="21" spans="5:28" x14ac:dyDescent="0.35">
      <c r="E21" s="2"/>
      <c r="F21" s="2"/>
    </row>
    <row r="22" spans="5:28" x14ac:dyDescent="0.35">
      <c r="E22" s="2"/>
      <c r="F22" s="2"/>
    </row>
    <row r="23" spans="5:28" x14ac:dyDescent="0.35">
      <c r="E23" s="2"/>
      <c r="F23" s="2"/>
    </row>
    <row r="24" spans="5:28" x14ac:dyDescent="0.35">
      <c r="E24" s="2"/>
      <c r="F24" s="2"/>
    </row>
    <row r="25" spans="5:28" x14ac:dyDescent="0.35">
      <c r="E25" s="2"/>
      <c r="F25" s="2"/>
    </row>
    <row r="26" spans="5:28" x14ac:dyDescent="0.35">
      <c r="E26" s="2"/>
      <c r="F26" s="2"/>
    </row>
    <row r="27" spans="5:28" x14ac:dyDescent="0.35">
      <c r="E27" s="2"/>
      <c r="F27" s="2"/>
    </row>
    <row r="28" spans="5:28" x14ac:dyDescent="0.35">
      <c r="E28" s="2"/>
      <c r="F28" s="2"/>
    </row>
    <row r="29" spans="5:28" x14ac:dyDescent="0.35">
      <c r="E29" s="2"/>
      <c r="F29" s="2"/>
    </row>
    <row r="30" spans="5:28" x14ac:dyDescent="0.35">
      <c r="E30" s="2"/>
      <c r="F30" s="2"/>
    </row>
    <row r="31" spans="5:28" x14ac:dyDescent="0.35">
      <c r="E31" s="2"/>
      <c r="F31" s="2"/>
    </row>
    <row r="32" spans="5:28" x14ac:dyDescent="0.35">
      <c r="E32" s="2"/>
      <c r="F32" s="2"/>
    </row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</sheetData>
  <sheetProtection selectLockedCells="1"/>
  <phoneticPr fontId="22" type="noConversion"/>
  <conditionalFormatting sqref="C4:C11">
    <cfRule type="iconSet" priority="463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11">
    <cfRule type="iconSet" priority="463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11">
    <cfRule type="iconSet" priority="463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11">
    <cfRule type="iconSet" priority="464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11">
    <cfRule type="iconSet" priority="464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0:X20">
    <cfRule type="iconSet" priority="5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11">
    <cfRule type="iconSet" priority="464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1">
    <cfRule type="iconSet" priority="464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11">
    <cfRule type="iconSet" priority="464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1">
    <cfRule type="iconSet" priority="465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11">
    <cfRule type="iconSet" priority="465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11">
    <cfRule type="iconSet" priority="465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11">
    <cfRule type="iconSet" priority="465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1">
    <cfRule type="iconSet" priority="465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11">
    <cfRule type="iconSet" priority="466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11">
    <cfRule type="iconSet" priority="466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11">
    <cfRule type="iconSet" priority="466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1">
    <cfRule type="iconSet" priority="466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11">
    <cfRule type="iconSet" priority="466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11">
    <cfRule type="iconSet" priority="467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11">
    <cfRule type="iconSet" priority="467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1">
    <cfRule type="iconSet" priority="467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2C330-2E9D-4B2D-B3D3-B95ACE7DE45D}">
  <sheetPr codeName="Feuil14">
    <tabColor rgb="FF008000"/>
    <pageSetUpPr fitToPage="1"/>
  </sheetPr>
  <dimension ref="A1:AE48"/>
  <sheetViews>
    <sheetView showGridLines="0" zoomScale="70" zoomScaleNormal="70" workbookViewId="0">
      <pane xSplit="1" topLeftCell="B1" activePane="topRight" state="frozen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25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22"/>
      <c r="T2" s="4"/>
      <c r="U2" s="4"/>
      <c r="V2" s="22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8" customFormat="1" ht="21.75" customHeight="1" x14ac:dyDescent="0.35">
      <c r="A4" s="12" t="s">
        <v>68</v>
      </c>
      <c r="B4" s="13" t="s">
        <v>191</v>
      </c>
      <c r="C4" s="32" t="s">
        <v>106</v>
      </c>
      <c r="D4" s="32" t="s">
        <v>106</v>
      </c>
      <c r="E4" s="32" t="s">
        <v>106</v>
      </c>
      <c r="F4" s="32" t="s">
        <v>106</v>
      </c>
      <c r="G4" s="25" t="s">
        <v>106</v>
      </c>
      <c r="H4" s="14">
        <v>0.10969896436955207</v>
      </c>
      <c r="I4" s="14">
        <v>0.13261156549505482</v>
      </c>
      <c r="J4" s="14">
        <v>0.31843170191646936</v>
      </c>
      <c r="K4" s="44">
        <v>0.82722018973256761</v>
      </c>
      <c r="L4" s="14">
        <v>9.0263314130062389E-2</v>
      </c>
      <c r="M4" s="14">
        <v>0.12129520275084424</v>
      </c>
      <c r="N4" s="14">
        <v>0.16717991021908626</v>
      </c>
      <c r="O4" s="44">
        <v>0.74416227586077499</v>
      </c>
      <c r="P4" s="14">
        <v>0.15023555324003079</v>
      </c>
      <c r="Q4" s="14">
        <v>0.11791059981988275</v>
      </c>
      <c r="R4" s="14">
        <v>0.16110359118330247</v>
      </c>
      <c r="S4" s="44">
        <v>1.2741479855884612</v>
      </c>
      <c r="T4" s="14">
        <v>0.15017140990576916</v>
      </c>
      <c r="U4" s="14">
        <v>0.11307285527523991</v>
      </c>
      <c r="V4" s="14">
        <v>7.9401111441897376E-2</v>
      </c>
      <c r="W4" s="44">
        <v>1.3280942586991777</v>
      </c>
      <c r="X4" s="31">
        <v>45838</v>
      </c>
      <c r="Y4" s="35">
        <v>8</v>
      </c>
      <c r="Z4" s="33" t="s">
        <v>107</v>
      </c>
      <c r="AA4" s="27" t="s">
        <v>108</v>
      </c>
      <c r="AB4" s="27" t="s">
        <v>108</v>
      </c>
      <c r="AC4" s="8" t="s">
        <v>108</v>
      </c>
      <c r="AD4" s="8" t="s">
        <v>108</v>
      </c>
      <c r="AE4" s="8" t="s">
        <v>33</v>
      </c>
    </row>
    <row r="5" spans="1:31" s="8" customFormat="1" ht="21.75" customHeight="1" x14ac:dyDescent="0.35">
      <c r="A5" s="12" t="s">
        <v>241</v>
      </c>
      <c r="B5" s="13" t="s">
        <v>259</v>
      </c>
      <c r="C5" s="32" t="s">
        <v>106</v>
      </c>
      <c r="D5" s="32" t="s">
        <v>106</v>
      </c>
      <c r="E5" s="32" t="s">
        <v>106</v>
      </c>
      <c r="F5" s="32" t="s">
        <v>106</v>
      </c>
      <c r="G5" s="25" t="s">
        <v>106</v>
      </c>
      <c r="H5" s="14" t="s">
        <v>106</v>
      </c>
      <c r="I5" s="14" t="s">
        <v>106</v>
      </c>
      <c r="J5" s="14" t="s">
        <v>106</v>
      </c>
      <c r="K5" s="25" t="s">
        <v>106</v>
      </c>
      <c r="L5" s="14">
        <v>3.6700778865164985E-2</v>
      </c>
      <c r="M5" s="14">
        <v>0.17243353199552217</v>
      </c>
      <c r="N5" s="14">
        <v>0.36055297956379873</v>
      </c>
      <c r="O5" s="25">
        <v>0.21284015029117451</v>
      </c>
      <c r="P5" s="14">
        <v>0.10403565195291176</v>
      </c>
      <c r="Q5" s="14">
        <v>0.15623258557835254</v>
      </c>
      <c r="R5" s="14">
        <v>0.22076565023273484</v>
      </c>
      <c r="S5" s="25">
        <v>0.66590238885047837</v>
      </c>
      <c r="T5" s="14">
        <v>0.28061380506057132</v>
      </c>
      <c r="U5" s="14">
        <v>0.15233931208618862</v>
      </c>
      <c r="V5" s="14">
        <v>9.2334982728036599E-2</v>
      </c>
      <c r="W5" s="25">
        <v>1.8420314573943275</v>
      </c>
      <c r="X5" s="31" t="s">
        <v>106</v>
      </c>
      <c r="Y5" s="35">
        <v>9</v>
      </c>
      <c r="Z5" s="33" t="s">
        <v>107</v>
      </c>
      <c r="AA5" s="27" t="s">
        <v>108</v>
      </c>
      <c r="AB5" s="62" t="s">
        <v>108</v>
      </c>
      <c r="AC5" s="8" t="s">
        <v>108</v>
      </c>
      <c r="AD5" s="8" t="s">
        <v>108</v>
      </c>
      <c r="AE5" s="8" t="s">
        <v>33</v>
      </c>
    </row>
    <row r="6" spans="1:31" s="8" customFormat="1" ht="21.75" customHeight="1" x14ac:dyDescent="0.35">
      <c r="A6" s="12" t="s">
        <v>27</v>
      </c>
      <c r="B6" s="13" t="s">
        <v>232</v>
      </c>
      <c r="C6" s="32">
        <v>5.9173443529415781E-2</v>
      </c>
      <c r="D6" s="32">
        <v>1.8961039057311662</v>
      </c>
      <c r="E6" s="32">
        <v>0.14056625698920766</v>
      </c>
      <c r="F6" s="32">
        <v>0.44262663364881422</v>
      </c>
      <c r="G6" s="25">
        <v>0.42096478057290077</v>
      </c>
      <c r="H6" s="14">
        <v>0.10450924878467704</v>
      </c>
      <c r="I6" s="14">
        <v>0.13026202651831298</v>
      </c>
      <c r="J6" s="14">
        <v>0.32093272927374994</v>
      </c>
      <c r="K6" s="25">
        <v>0.80230019122253204</v>
      </c>
      <c r="L6" s="14">
        <v>0.11001919393738824</v>
      </c>
      <c r="M6" s="14">
        <v>0.13641404243512864</v>
      </c>
      <c r="N6" s="14">
        <v>0.22400866152388693</v>
      </c>
      <c r="O6" s="25">
        <v>0.80650930046082014</v>
      </c>
      <c r="P6" s="14">
        <v>0.19316956391370388</v>
      </c>
      <c r="Q6" s="14">
        <v>0.1447707193313609</v>
      </c>
      <c r="R6" s="14">
        <v>0.22400866152388693</v>
      </c>
      <c r="S6" s="25">
        <v>1.3343137673548784</v>
      </c>
      <c r="T6" s="14">
        <v>0.46565255419352503</v>
      </c>
      <c r="U6" s="14">
        <v>0.17243459669678568</v>
      </c>
      <c r="V6" s="14">
        <v>7.3321401766641689E-2</v>
      </c>
      <c r="W6" s="25">
        <v>2.7004589746705117</v>
      </c>
      <c r="X6" s="31" t="s">
        <v>106</v>
      </c>
      <c r="Y6" s="35" t="s">
        <v>234</v>
      </c>
      <c r="Z6" s="33" t="s">
        <v>108</v>
      </c>
      <c r="AA6" s="27" t="s">
        <v>108</v>
      </c>
      <c r="AB6" s="62" t="s">
        <v>108</v>
      </c>
      <c r="AC6" s="8" t="s">
        <v>108</v>
      </c>
      <c r="AD6" s="8" t="s">
        <v>108</v>
      </c>
      <c r="AE6" s="8" t="s">
        <v>31</v>
      </c>
    </row>
    <row r="7" spans="1:31" s="8" customFormat="1" ht="21.5" customHeight="1" x14ac:dyDescent="0.35">
      <c r="A7" s="12" t="s">
        <v>131</v>
      </c>
      <c r="B7" s="13" t="s">
        <v>260</v>
      </c>
      <c r="C7" s="32">
        <v>5.8346983713370548E-2</v>
      </c>
      <c r="D7" s="32">
        <v>1.854588796185936</v>
      </c>
      <c r="E7" s="32">
        <v>0.20141744248198559</v>
      </c>
      <c r="F7" s="32">
        <v>0.60032626427406188</v>
      </c>
      <c r="G7" s="25">
        <v>0.28968188154106361</v>
      </c>
      <c r="H7" s="14">
        <v>0.11373340903297557</v>
      </c>
      <c r="I7" s="14">
        <v>0.16478798242664522</v>
      </c>
      <c r="J7" s="14">
        <v>0.30969865788807294</v>
      </c>
      <c r="K7" s="44">
        <v>0.69018023862027433</v>
      </c>
      <c r="L7" s="14">
        <v>9.6267967083667028E-2</v>
      </c>
      <c r="M7" s="14">
        <v>0.15499829977990631</v>
      </c>
      <c r="N7" s="14">
        <v>0.20736397923746222</v>
      </c>
      <c r="O7" s="44">
        <v>0.62109047144623597</v>
      </c>
      <c r="P7" s="14">
        <v>0.15856274051165964</v>
      </c>
      <c r="Q7" s="14">
        <v>0.14154405260885103</v>
      </c>
      <c r="R7" s="14">
        <v>0.17842910878552012</v>
      </c>
      <c r="S7" s="44">
        <v>1.1202359801710553</v>
      </c>
      <c r="T7" s="14">
        <v>0.37896848775274306</v>
      </c>
      <c r="U7" s="14">
        <v>0.13910146278011332</v>
      </c>
      <c r="V7" s="14">
        <v>6.1174572610652837E-2</v>
      </c>
      <c r="W7" s="44">
        <v>2.724403325303653</v>
      </c>
      <c r="X7" s="31">
        <v>46203</v>
      </c>
      <c r="Y7" s="33">
        <v>9</v>
      </c>
      <c r="Z7" s="33" t="s">
        <v>107</v>
      </c>
      <c r="AA7" s="27" t="s">
        <v>108</v>
      </c>
      <c r="AB7" s="27" t="s">
        <v>108</v>
      </c>
      <c r="AC7" s="8" t="s">
        <v>108</v>
      </c>
      <c r="AD7" s="8" t="s">
        <v>108</v>
      </c>
      <c r="AE7" s="8" t="s">
        <v>31</v>
      </c>
    </row>
    <row r="8" spans="1:31" s="8" customFormat="1" ht="21.75" customHeight="1" x14ac:dyDescent="0.35">
      <c r="A8" s="12" t="s">
        <v>35</v>
      </c>
      <c r="B8" s="13" t="s">
        <v>233</v>
      </c>
      <c r="C8" s="32" t="s">
        <v>106</v>
      </c>
      <c r="D8" s="32" t="s">
        <v>106</v>
      </c>
      <c r="E8" s="32" t="s">
        <v>106</v>
      </c>
      <c r="F8" s="32" t="s">
        <v>106</v>
      </c>
      <c r="G8" s="25" t="s">
        <v>106</v>
      </c>
      <c r="H8" s="14" t="s">
        <v>106</v>
      </c>
      <c r="I8" s="14" t="s">
        <v>106</v>
      </c>
      <c r="J8" s="14" t="s">
        <v>106</v>
      </c>
      <c r="K8" s="44" t="s">
        <v>106</v>
      </c>
      <c r="L8" s="14">
        <v>6.8560722285287756E-2</v>
      </c>
      <c r="M8" s="14">
        <v>0.1562357479911847</v>
      </c>
      <c r="N8" s="14">
        <v>0.24747836272532042</v>
      </c>
      <c r="O8" s="44">
        <v>0.43882864944043515</v>
      </c>
      <c r="P8" s="14">
        <v>0.11522001863222675</v>
      </c>
      <c r="Q8" s="14">
        <v>0.14600766409134458</v>
      </c>
      <c r="R8" s="14">
        <v>0.15314293340451099</v>
      </c>
      <c r="S8" s="44">
        <v>0.78913678503988249</v>
      </c>
      <c r="T8" s="14">
        <v>0.23354062416971932</v>
      </c>
      <c r="U8" s="14">
        <v>0.14554328258046767</v>
      </c>
      <c r="V8" s="14">
        <v>0.10601703351399175</v>
      </c>
      <c r="W8" s="44">
        <v>1.6046128686193393</v>
      </c>
      <c r="X8" s="31">
        <v>45107</v>
      </c>
      <c r="Y8" s="33">
        <v>9</v>
      </c>
      <c r="Z8" s="33" t="s">
        <v>107</v>
      </c>
      <c r="AA8" s="27" t="s">
        <v>108</v>
      </c>
      <c r="AB8" s="27" t="s">
        <v>108</v>
      </c>
      <c r="AC8" s="8" t="s">
        <v>108</v>
      </c>
      <c r="AD8" s="8" t="s">
        <v>108</v>
      </c>
      <c r="AE8" s="8" t="s">
        <v>33</v>
      </c>
    </row>
    <row r="9" spans="1:31" s="8" customFormat="1" ht="21.5" customHeight="1" x14ac:dyDescent="0.35">
      <c r="A9" s="12" t="s">
        <v>56</v>
      </c>
      <c r="B9" s="13" t="s">
        <v>96</v>
      </c>
      <c r="C9" s="32" t="s">
        <v>106</v>
      </c>
      <c r="D9" s="32" t="s">
        <v>106</v>
      </c>
      <c r="E9" s="32" t="s">
        <v>106</v>
      </c>
      <c r="F9" s="32" t="s">
        <v>106</v>
      </c>
      <c r="G9" s="25" t="s">
        <v>106</v>
      </c>
      <c r="H9" s="14">
        <v>7.102928427330113E-2</v>
      </c>
      <c r="I9" s="14">
        <v>0.13353943350284234</v>
      </c>
      <c r="J9" s="14">
        <v>0.34538640944019616</v>
      </c>
      <c r="K9" s="44">
        <v>0.53189745088883655</v>
      </c>
      <c r="L9" s="14">
        <v>3.8125338507651874E-2</v>
      </c>
      <c r="M9" s="14">
        <v>0.14556951496826293</v>
      </c>
      <c r="N9" s="14">
        <v>0.34538640944019616</v>
      </c>
      <c r="O9" s="44">
        <v>0.26190468873901218</v>
      </c>
      <c r="P9" s="14">
        <v>9.0693593854771937E-2</v>
      </c>
      <c r="Q9" s="14">
        <v>0.15036689676006249</v>
      </c>
      <c r="R9" s="14">
        <v>0.24341488331248237</v>
      </c>
      <c r="S9" s="44">
        <v>0.6031486704117458</v>
      </c>
      <c r="T9" s="14">
        <v>0.38547257889224018</v>
      </c>
      <c r="U9" s="14">
        <v>0.15136360229183102</v>
      </c>
      <c r="V9" s="14">
        <v>8.3428299066775971E-2</v>
      </c>
      <c r="W9" s="44">
        <v>2.5466662596272251</v>
      </c>
      <c r="X9" s="31">
        <v>45291</v>
      </c>
      <c r="Y9" s="33">
        <v>9</v>
      </c>
      <c r="Z9" s="33" t="s">
        <v>107</v>
      </c>
      <c r="AA9" s="27" t="s">
        <v>106</v>
      </c>
      <c r="AB9" s="27" t="s">
        <v>107</v>
      </c>
      <c r="AC9" s="8" t="s">
        <v>107</v>
      </c>
      <c r="AD9" s="8" t="s">
        <v>106</v>
      </c>
      <c r="AE9" s="8" t="s">
        <v>29</v>
      </c>
    </row>
    <row r="10" spans="1:31" s="8" customFormat="1" ht="21.5" customHeight="1" x14ac:dyDescent="0.35">
      <c r="A10" s="12" t="s">
        <v>149</v>
      </c>
      <c r="B10" s="13" t="s">
        <v>192</v>
      </c>
      <c r="C10" s="32" t="s">
        <v>106</v>
      </c>
      <c r="D10" s="32" t="s">
        <v>106</v>
      </c>
      <c r="E10" s="32" t="s">
        <v>106</v>
      </c>
      <c r="F10" s="32" t="s">
        <v>106</v>
      </c>
      <c r="G10" s="25" t="s">
        <v>106</v>
      </c>
      <c r="H10" s="14" t="s">
        <v>106</v>
      </c>
      <c r="I10" s="14" t="s">
        <v>106</v>
      </c>
      <c r="J10" s="14" t="s">
        <v>106</v>
      </c>
      <c r="K10" s="44" t="s">
        <v>106</v>
      </c>
      <c r="L10" s="14" t="s">
        <v>106</v>
      </c>
      <c r="M10" s="14" t="s">
        <v>106</v>
      </c>
      <c r="N10" s="14" t="s">
        <v>106</v>
      </c>
      <c r="O10" s="44" t="s">
        <v>106</v>
      </c>
      <c r="P10" s="14">
        <v>8.2911676654229716E-2</v>
      </c>
      <c r="Q10" s="14">
        <v>0.11429701959640194</v>
      </c>
      <c r="R10" s="14">
        <v>0.16726288119849012</v>
      </c>
      <c r="S10" s="44">
        <v>0.7254054125558298</v>
      </c>
      <c r="T10" s="14">
        <v>0.15951848363452892</v>
      </c>
      <c r="U10" s="14">
        <v>0.10565602857689231</v>
      </c>
      <c r="V10" s="14">
        <v>8.9639048868107474E-2</v>
      </c>
      <c r="W10" s="44">
        <v>1.5097906459586226</v>
      </c>
      <c r="X10" s="31" t="s">
        <v>106</v>
      </c>
      <c r="Y10" s="33">
        <v>8</v>
      </c>
      <c r="Z10" s="33" t="s">
        <v>107</v>
      </c>
      <c r="AA10" s="27" t="s">
        <v>32</v>
      </c>
      <c r="AB10" s="27" t="s">
        <v>32</v>
      </c>
      <c r="AC10" s="8" t="s">
        <v>32</v>
      </c>
      <c r="AD10" s="8" t="s">
        <v>32</v>
      </c>
      <c r="AE10" s="8" t="s">
        <v>31</v>
      </c>
    </row>
    <row r="11" spans="1:31" s="8" customFormat="1" ht="21.5" customHeight="1" x14ac:dyDescent="0.35">
      <c r="A11" s="12" t="s">
        <v>48</v>
      </c>
      <c r="B11" s="13" t="s">
        <v>97</v>
      </c>
      <c r="C11" s="32" t="s">
        <v>106</v>
      </c>
      <c r="D11" s="32" t="s">
        <v>106</v>
      </c>
      <c r="E11" s="32" t="s">
        <v>106</v>
      </c>
      <c r="F11" s="32" t="s">
        <v>106</v>
      </c>
      <c r="G11" s="25" t="s">
        <v>106</v>
      </c>
      <c r="H11" s="14" t="s">
        <v>106</v>
      </c>
      <c r="I11" s="14" t="s">
        <v>106</v>
      </c>
      <c r="J11" s="14" t="s">
        <v>106</v>
      </c>
      <c r="K11" s="44" t="s">
        <v>106</v>
      </c>
      <c r="L11" s="14">
        <v>2.4785060207288323E-2</v>
      </c>
      <c r="M11" s="14">
        <v>0.12650465613530434</v>
      </c>
      <c r="N11" s="14">
        <v>0.25783560023654639</v>
      </c>
      <c r="O11" s="44">
        <v>0.19592211831933845</v>
      </c>
      <c r="P11" s="14">
        <v>5.7049287701319118E-2</v>
      </c>
      <c r="Q11" s="14">
        <v>0.12003812778100664</v>
      </c>
      <c r="R11" s="14">
        <v>0.22391525544289317</v>
      </c>
      <c r="S11" s="44">
        <v>0.47525972585475373</v>
      </c>
      <c r="T11" s="14">
        <v>0.11122857209323889</v>
      </c>
      <c r="U11" s="14">
        <v>0.11852485794042067</v>
      </c>
      <c r="V11" s="14">
        <v>9.0444661975196378E-2</v>
      </c>
      <c r="W11" s="44">
        <v>0.93844088089226452</v>
      </c>
      <c r="X11" s="31" t="s">
        <v>106</v>
      </c>
      <c r="Y11" s="33">
        <v>8</v>
      </c>
      <c r="Z11" s="33" t="s">
        <v>108</v>
      </c>
      <c r="AA11" s="27" t="s">
        <v>106</v>
      </c>
      <c r="AB11" s="27" t="s">
        <v>108</v>
      </c>
      <c r="AC11" s="8" t="s">
        <v>108</v>
      </c>
      <c r="AD11" s="8" t="s">
        <v>106</v>
      </c>
      <c r="AE11" s="8" t="s">
        <v>33</v>
      </c>
    </row>
    <row r="12" spans="1:31" s="8" customFormat="1" ht="21.5" customHeight="1" x14ac:dyDescent="0.35">
      <c r="A12" s="12" t="s">
        <v>74</v>
      </c>
      <c r="B12" s="13" t="s">
        <v>98</v>
      </c>
      <c r="C12" s="32">
        <v>6.9360570980142588E-2</v>
      </c>
      <c r="D12" s="32">
        <v>2.4570637119113576</v>
      </c>
      <c r="E12" s="32">
        <v>0.17877840298397488</v>
      </c>
      <c r="F12" s="32">
        <v>0.51385041551246535</v>
      </c>
      <c r="G12" s="25">
        <v>0.38796951881464031</v>
      </c>
      <c r="H12" s="14">
        <v>0.10826960817017328</v>
      </c>
      <c r="I12" s="14">
        <v>0.16417673657408621</v>
      </c>
      <c r="J12" s="14">
        <v>0.3027305104867431</v>
      </c>
      <c r="K12" s="44">
        <v>0.65946985199888941</v>
      </c>
      <c r="L12" s="14">
        <v>9.0514706882326879E-2</v>
      </c>
      <c r="M12" s="14">
        <v>0.1700051603595861</v>
      </c>
      <c r="N12" s="14">
        <v>0.2587377420165955</v>
      </c>
      <c r="O12" s="44">
        <v>0.5324232905099755</v>
      </c>
      <c r="P12" s="14">
        <v>0.12263145076122495</v>
      </c>
      <c r="Q12" s="14">
        <v>0.16207164341631752</v>
      </c>
      <c r="R12" s="14">
        <v>0.2587377420165955</v>
      </c>
      <c r="S12" s="44">
        <v>0.75664964071610263</v>
      </c>
      <c r="T12" s="14">
        <v>0.42054042158823779</v>
      </c>
      <c r="U12" s="14">
        <v>0.14672444286033656</v>
      </c>
      <c r="V12" s="14">
        <v>8.6109909130246576E-2</v>
      </c>
      <c r="W12" s="44">
        <v>2.8661919813083907</v>
      </c>
      <c r="X12" s="31" t="s">
        <v>106</v>
      </c>
      <c r="Y12" s="33">
        <v>9</v>
      </c>
      <c r="Z12" s="33" t="s">
        <v>108</v>
      </c>
      <c r="AA12" s="27" t="s">
        <v>108</v>
      </c>
      <c r="AB12" s="27" t="s">
        <v>108</v>
      </c>
      <c r="AC12" s="8" t="s">
        <v>108</v>
      </c>
      <c r="AD12" s="8" t="s">
        <v>108</v>
      </c>
      <c r="AE12" s="8" t="s">
        <v>33</v>
      </c>
    </row>
    <row r="13" spans="1:31" s="8" customFormat="1" ht="21.5" customHeight="1" x14ac:dyDescent="0.35">
      <c r="A13" s="12" t="s">
        <v>248</v>
      </c>
      <c r="B13" s="13" t="s">
        <v>261</v>
      </c>
      <c r="C13" s="32" t="s">
        <v>106</v>
      </c>
      <c r="D13" s="32" t="s">
        <v>106</v>
      </c>
      <c r="E13" s="32" t="s">
        <v>106</v>
      </c>
      <c r="F13" s="32" t="s">
        <v>106</v>
      </c>
      <c r="G13" s="25" t="s">
        <v>106</v>
      </c>
      <c r="H13" s="14" t="s">
        <v>106</v>
      </c>
      <c r="I13" s="14" t="s">
        <v>106</v>
      </c>
      <c r="J13" s="14" t="s">
        <v>106</v>
      </c>
      <c r="K13" s="44" t="s">
        <v>106</v>
      </c>
      <c r="L13" s="14">
        <v>2.7901020990943382E-2</v>
      </c>
      <c r="M13" s="14">
        <v>0.17339887426448103</v>
      </c>
      <c r="N13" s="14">
        <v>0.30951116908857368</v>
      </c>
      <c r="O13" s="44">
        <v>0.16090658667360574</v>
      </c>
      <c r="P13" s="14">
        <v>9.1726274368965743E-2</v>
      </c>
      <c r="Q13" s="14">
        <v>0.15491278392084218</v>
      </c>
      <c r="R13" s="14">
        <v>0.17551658669612336</v>
      </c>
      <c r="S13" s="44">
        <v>0.59211558947798859</v>
      </c>
      <c r="T13" s="14">
        <v>0.16372653259060299</v>
      </c>
      <c r="U13" s="14">
        <v>0.15720140179980899</v>
      </c>
      <c r="V13" s="14">
        <v>0.11589002100464614</v>
      </c>
      <c r="W13" s="44">
        <v>1.0415080954500873</v>
      </c>
      <c r="X13" s="31">
        <v>45107</v>
      </c>
      <c r="Y13" s="33">
        <v>9</v>
      </c>
      <c r="Z13" s="33" t="s">
        <v>108</v>
      </c>
      <c r="AA13" s="27" t="s">
        <v>106</v>
      </c>
      <c r="AB13" s="27" t="s">
        <v>107</v>
      </c>
      <c r="AC13" s="8" t="s">
        <v>108</v>
      </c>
      <c r="AD13" s="8" t="s">
        <v>106</v>
      </c>
      <c r="AE13" s="8" t="s">
        <v>33</v>
      </c>
    </row>
    <row r="14" spans="1:31" s="8" customFormat="1" ht="21.5" customHeight="1" x14ac:dyDescent="0.35">
      <c r="A14" s="12" t="s">
        <v>58</v>
      </c>
      <c r="B14" s="13" t="s">
        <v>99</v>
      </c>
      <c r="C14" s="32" t="s">
        <v>106</v>
      </c>
      <c r="D14" s="32" t="s">
        <v>106</v>
      </c>
      <c r="E14" s="32" t="s">
        <v>106</v>
      </c>
      <c r="F14" s="32" t="s">
        <v>106</v>
      </c>
      <c r="G14" s="25" t="s">
        <v>106</v>
      </c>
      <c r="H14" s="14" t="s">
        <v>106</v>
      </c>
      <c r="I14" s="14" t="s">
        <v>106</v>
      </c>
      <c r="J14" s="14" t="s">
        <v>106</v>
      </c>
      <c r="K14" s="44" t="s">
        <v>106</v>
      </c>
      <c r="L14" s="14" t="s">
        <v>106</v>
      </c>
      <c r="M14" s="14" t="s">
        <v>106</v>
      </c>
      <c r="N14" s="14" t="s">
        <v>106</v>
      </c>
      <c r="O14" s="44" t="s">
        <v>106</v>
      </c>
      <c r="P14" s="14">
        <v>4.7985217102218591E-2</v>
      </c>
      <c r="Q14" s="14">
        <v>4.2280444342001657E-2</v>
      </c>
      <c r="R14" s="14">
        <v>3.6885164715437499E-2</v>
      </c>
      <c r="S14" s="44">
        <v>1.1349269821781363</v>
      </c>
      <c r="T14" s="14">
        <v>3.9845176540354466E-2</v>
      </c>
      <c r="U14" s="14">
        <v>4.2268245611155719E-2</v>
      </c>
      <c r="V14" s="14">
        <v>3.0929643173467317E-2</v>
      </c>
      <c r="W14" s="44">
        <v>0.94267400892168229</v>
      </c>
      <c r="X14" s="31" t="s">
        <v>106</v>
      </c>
      <c r="Y14" s="33">
        <v>9</v>
      </c>
      <c r="Z14" s="33" t="s">
        <v>107</v>
      </c>
      <c r="AA14" s="27" t="s">
        <v>106</v>
      </c>
      <c r="AB14" s="27" t="s">
        <v>108</v>
      </c>
      <c r="AC14" s="8" t="s">
        <v>108</v>
      </c>
      <c r="AD14" s="8" t="s">
        <v>106</v>
      </c>
      <c r="AE14" s="8" t="s">
        <v>33</v>
      </c>
    </row>
    <row r="15" spans="1:31" s="8" customFormat="1" ht="21.5" customHeight="1" x14ac:dyDescent="0.35">
      <c r="A15" s="12" t="s">
        <v>50</v>
      </c>
      <c r="B15" s="13" t="s">
        <v>100</v>
      </c>
      <c r="C15" s="32" t="s">
        <v>106</v>
      </c>
      <c r="D15" s="32" t="s">
        <v>106</v>
      </c>
      <c r="E15" s="32" t="s">
        <v>106</v>
      </c>
      <c r="F15" s="32" t="s">
        <v>106</v>
      </c>
      <c r="G15" s="25" t="s">
        <v>106</v>
      </c>
      <c r="H15" s="14" t="s">
        <v>106</v>
      </c>
      <c r="I15" s="14" t="s">
        <v>106</v>
      </c>
      <c r="J15" s="14" t="s">
        <v>106</v>
      </c>
      <c r="K15" s="44" t="s">
        <v>106</v>
      </c>
      <c r="L15" s="14">
        <v>5.4723073007252765E-2</v>
      </c>
      <c r="M15" s="14">
        <v>0.14847292267538301</v>
      </c>
      <c r="N15" s="14">
        <v>0.24459798699892102</v>
      </c>
      <c r="O15" s="44">
        <v>0.36857274728064554</v>
      </c>
      <c r="P15" s="14">
        <v>8.620624703940627E-2</v>
      </c>
      <c r="Q15" s="14">
        <v>0.12831191150062041</v>
      </c>
      <c r="R15" s="14">
        <v>0.19137961938865086</v>
      </c>
      <c r="S15" s="44">
        <v>0.67184913724077322</v>
      </c>
      <c r="T15" s="14">
        <v>0.10743648785557069</v>
      </c>
      <c r="U15" s="14">
        <v>0.11291608234026296</v>
      </c>
      <c r="V15" s="14">
        <v>0.10139679161837513</v>
      </c>
      <c r="W15" s="44">
        <v>0.95147197484074963</v>
      </c>
      <c r="X15" s="31">
        <v>45107</v>
      </c>
      <c r="Y15" s="33">
        <v>9</v>
      </c>
      <c r="Z15" s="33" t="s">
        <v>195</v>
      </c>
      <c r="AA15" s="27" t="s">
        <v>32</v>
      </c>
      <c r="AB15" s="27" t="s">
        <v>32</v>
      </c>
      <c r="AC15" s="8" t="s">
        <v>32</v>
      </c>
      <c r="AD15" s="8" t="s">
        <v>32</v>
      </c>
      <c r="AE15" s="8" t="s">
        <v>31</v>
      </c>
    </row>
    <row r="16" spans="1:31" s="8" customFormat="1" ht="21.5" customHeight="1" x14ac:dyDescent="0.35">
      <c r="A16" s="12" t="s">
        <v>59</v>
      </c>
      <c r="B16" s="13" t="s">
        <v>101</v>
      </c>
      <c r="C16" s="32">
        <v>6.4708689516073115E-2</v>
      </c>
      <c r="D16" s="32">
        <v>2.1892304338347506</v>
      </c>
      <c r="E16" s="32">
        <v>0.22665254031141047</v>
      </c>
      <c r="F16" s="32">
        <v>0.61223601132157635</v>
      </c>
      <c r="G16" s="25">
        <v>0.28549730537838341</v>
      </c>
      <c r="H16" s="14">
        <v>0.1563671763151695</v>
      </c>
      <c r="I16" s="14">
        <v>0.21835416240696751</v>
      </c>
      <c r="J16" s="14">
        <v>0.33871253768398657</v>
      </c>
      <c r="K16" s="44">
        <v>0.71611722255027621</v>
      </c>
      <c r="L16" s="14">
        <v>0.14087305905351988</v>
      </c>
      <c r="M16" s="14">
        <v>0.23957249907577324</v>
      </c>
      <c r="N16" s="14">
        <v>0.28728581567474393</v>
      </c>
      <c r="O16" s="44">
        <v>0.58801848958867275</v>
      </c>
      <c r="P16" s="14">
        <v>0.21634724388912896</v>
      </c>
      <c r="Q16" s="14">
        <v>0.22345112869336226</v>
      </c>
      <c r="R16" s="14">
        <v>0.28728581567474393</v>
      </c>
      <c r="S16" s="44">
        <v>0.96820832883783814</v>
      </c>
      <c r="T16" s="14">
        <v>0.65048418921535656</v>
      </c>
      <c r="U16" s="14">
        <v>0.22020780958450084</v>
      </c>
      <c r="V16" s="14">
        <v>8.1187866428753447E-2</v>
      </c>
      <c r="W16" s="44">
        <v>2.9539560401727933</v>
      </c>
      <c r="X16" s="31" t="s">
        <v>106</v>
      </c>
      <c r="Y16" s="33">
        <v>9</v>
      </c>
      <c r="Z16" s="33" t="s">
        <v>108</v>
      </c>
      <c r="AA16" s="27" t="s">
        <v>108</v>
      </c>
      <c r="AB16" s="27" t="s">
        <v>108</v>
      </c>
      <c r="AC16" s="8" t="s">
        <v>108</v>
      </c>
      <c r="AD16" s="8" t="s">
        <v>108</v>
      </c>
      <c r="AE16" s="8" t="s">
        <v>33</v>
      </c>
    </row>
    <row r="17" spans="1:31" s="8" customFormat="1" ht="21.5" customHeight="1" x14ac:dyDescent="0.35">
      <c r="A17" s="12" t="s">
        <v>42</v>
      </c>
      <c r="B17" s="13" t="s">
        <v>193</v>
      </c>
      <c r="C17" s="32">
        <v>9.5976448599525366E-2</v>
      </c>
      <c r="D17" s="32">
        <v>4.4475347661188369</v>
      </c>
      <c r="E17" s="32">
        <v>0.23671328520426338</v>
      </c>
      <c r="F17" s="32">
        <v>0.66610878661087858</v>
      </c>
      <c r="G17" s="25">
        <v>0.40545442355170674</v>
      </c>
      <c r="H17" s="14">
        <v>0.2050158718629389</v>
      </c>
      <c r="I17" s="14">
        <v>0.21917743606967019</v>
      </c>
      <c r="J17" s="14">
        <v>0.33449852110782463</v>
      </c>
      <c r="K17" s="44">
        <v>0.93538767283403323</v>
      </c>
      <c r="L17" s="14">
        <v>0.17327307997688601</v>
      </c>
      <c r="M17" s="14">
        <v>0.23192387411108634</v>
      </c>
      <c r="N17" s="14">
        <v>0.28659046557011425</v>
      </c>
      <c r="O17" s="44">
        <v>0.74711187298420212</v>
      </c>
      <c r="P17" s="14">
        <v>0.2644018621265869</v>
      </c>
      <c r="Q17" s="14">
        <v>0.23521733316385815</v>
      </c>
      <c r="R17" s="14">
        <v>0.28659046557011425</v>
      </c>
      <c r="S17" s="44">
        <v>1.124074737903767</v>
      </c>
      <c r="T17" s="14">
        <v>0.92480953123324028</v>
      </c>
      <c r="U17" s="14">
        <v>0.25992605898842885</v>
      </c>
      <c r="V17" s="14">
        <v>0.12058394160583939</v>
      </c>
      <c r="W17" s="44">
        <v>3.5579715817351354</v>
      </c>
      <c r="X17" s="31" t="s">
        <v>106</v>
      </c>
      <c r="Y17" s="33">
        <v>9</v>
      </c>
      <c r="Z17" s="33" t="s">
        <v>108</v>
      </c>
      <c r="AA17" s="27" t="s">
        <v>108</v>
      </c>
      <c r="AB17" s="27" t="s">
        <v>107</v>
      </c>
      <c r="AC17" s="8" t="s">
        <v>108</v>
      </c>
      <c r="AD17" s="8" t="s">
        <v>108</v>
      </c>
      <c r="AE17" s="8" t="s">
        <v>33</v>
      </c>
    </row>
    <row r="18" spans="1:31" s="8" customFormat="1" ht="21.5" customHeight="1" x14ac:dyDescent="0.35">
      <c r="A18" s="12" t="s">
        <v>150</v>
      </c>
      <c r="B18" s="13" t="s">
        <v>194</v>
      </c>
      <c r="C18" s="32" t="s">
        <v>106</v>
      </c>
      <c r="D18" s="32" t="s">
        <v>106</v>
      </c>
      <c r="E18" s="32" t="s">
        <v>106</v>
      </c>
      <c r="F18" s="32" t="s">
        <v>106</v>
      </c>
      <c r="G18" s="25" t="s">
        <v>106</v>
      </c>
      <c r="H18" s="14" t="s">
        <v>106</v>
      </c>
      <c r="I18" s="14" t="s">
        <v>106</v>
      </c>
      <c r="J18" s="14" t="s">
        <v>106</v>
      </c>
      <c r="K18" s="44" t="s">
        <v>106</v>
      </c>
      <c r="L18" s="14">
        <v>8.9671862112813416E-2</v>
      </c>
      <c r="M18" s="14">
        <v>0.16059973022111956</v>
      </c>
      <c r="N18" s="14">
        <v>0.2336601307189542</v>
      </c>
      <c r="O18" s="44">
        <v>0.55835624374555259</v>
      </c>
      <c r="P18" s="14">
        <v>0.11960517585576835</v>
      </c>
      <c r="Q18" s="14">
        <v>0.14372867814751672</v>
      </c>
      <c r="R18" s="14">
        <v>0.156</v>
      </c>
      <c r="S18" s="44">
        <v>0.83215943677580417</v>
      </c>
      <c r="T18" s="14">
        <v>0.17117042343918132</v>
      </c>
      <c r="U18" s="14">
        <v>0.15086145740314805</v>
      </c>
      <c r="V18" s="14">
        <v>0.11695215593620795</v>
      </c>
      <c r="W18" s="44">
        <v>1.1346199777307036</v>
      </c>
      <c r="X18" s="31" t="s">
        <v>106</v>
      </c>
      <c r="Y18" s="33">
        <v>8</v>
      </c>
      <c r="Z18" s="33" t="s">
        <v>108</v>
      </c>
      <c r="AA18" s="27" t="s">
        <v>108</v>
      </c>
      <c r="AB18" s="27" t="s">
        <v>108</v>
      </c>
      <c r="AC18" s="8" t="s">
        <v>108</v>
      </c>
      <c r="AD18" s="8" t="s">
        <v>108</v>
      </c>
      <c r="AE18" s="8" t="s">
        <v>54</v>
      </c>
    </row>
    <row r="19" spans="1:31" s="8" customFormat="1" ht="21.5" customHeight="1" x14ac:dyDescent="0.35">
      <c r="A19" s="12"/>
      <c r="B19" s="13"/>
      <c r="C19" s="32"/>
      <c r="D19" s="32"/>
      <c r="E19" s="32"/>
      <c r="F19" s="32"/>
      <c r="G19" s="25"/>
      <c r="H19" s="14"/>
      <c r="I19" s="14"/>
      <c r="J19" s="14"/>
      <c r="K19" s="44"/>
      <c r="L19" s="14"/>
      <c r="M19" s="14"/>
      <c r="N19" s="14"/>
      <c r="O19" s="44"/>
      <c r="P19" s="14"/>
      <c r="Q19" s="14"/>
      <c r="R19" s="14"/>
      <c r="S19" s="44"/>
      <c r="T19" s="14"/>
      <c r="U19" s="14"/>
      <c r="V19" s="14"/>
      <c r="W19" s="44"/>
      <c r="X19" s="31"/>
      <c r="Y19" s="33"/>
      <c r="Z19" s="33"/>
      <c r="AA19" s="33"/>
      <c r="AB19" s="33"/>
      <c r="AC19" s="33"/>
      <c r="AD19" s="27"/>
      <c r="AE19" s="27"/>
    </row>
    <row r="20" spans="1:31" s="8" customFormat="1" ht="21.5" customHeight="1" x14ac:dyDescent="0.35">
      <c r="A20" s="36" t="s">
        <v>2</v>
      </c>
      <c r="B20" s="36" t="s">
        <v>3</v>
      </c>
      <c r="C20" s="37">
        <f>AVERAGE(Table113[Performance annualisée depuis 01/08])</f>
        <v>6.951322726770548E-2</v>
      </c>
      <c r="D20" s="37">
        <f>AVERAGE(Table113[Perf. Totale depuis 01/08])</f>
        <v>2.5689043227564095</v>
      </c>
      <c r="E20" s="37">
        <f>AVERAGE(Table113[Volatilité annualisée depuis 01/08])</f>
        <v>0.19682558559416838</v>
      </c>
      <c r="F20" s="37">
        <f>AVERAGE(Table113[Max Drawdown depuis 01/08])</f>
        <v>0.56702962227355935</v>
      </c>
      <c r="G20" s="34">
        <f>AVERAGE(Table113[Couple Rendement / Risque depuis 01/08])</f>
        <v>0.357913581971739</v>
      </c>
      <c r="H20" s="37">
        <f>AVERAGE(Table113[Performance annualisée 10 ans])</f>
        <v>0.12408908040125535</v>
      </c>
      <c r="I20" s="37">
        <f>AVERAGE(Table113[Volatilité annualisée 10 ans])</f>
        <v>0.1661299061419399</v>
      </c>
      <c r="J20" s="37">
        <f>AVERAGE(Table113[Max Drawdown 10 ans])</f>
        <v>0.32434158111386324</v>
      </c>
      <c r="K20" s="42">
        <f>AVERAGE(Table113[Couple Rendement Risque 10 ans])</f>
        <v>0.73751040254962985</v>
      </c>
      <c r="L20" s="37">
        <f>AVERAGE(Table113[Performance annualisée 5 ans])</f>
        <v>8.0129167464634846E-2</v>
      </c>
      <c r="M20" s="37">
        <f>AVERAGE(Table113[Volatilité annualisée 5 ans])</f>
        <v>0.1644172351356602</v>
      </c>
      <c r="N20" s="37">
        <f>AVERAGE(Table113[Max Drawdown 5 ans])</f>
        <v>0.26386070869340006</v>
      </c>
      <c r="O20" s="42">
        <f>AVERAGE(Table113[Couple Rendement Risque 5 ans])</f>
        <v>0.47974206810311121</v>
      </c>
      <c r="P20" s="37">
        <f>AVERAGE(Table113[Performance annualisée 3 ans])</f>
        <v>0.12671877050694355</v>
      </c>
      <c r="Q20" s="37">
        <f>AVERAGE(Table113[Volatilité annualisée 3 ans])</f>
        <v>0.14540943925011882</v>
      </c>
      <c r="R20" s="37">
        <f>AVERAGE(Table113[Max Drawdown 3 ans])</f>
        <v>0.19762922394303248</v>
      </c>
      <c r="S20" s="42">
        <f>AVERAGE(Table113[Couple Rendement Risque 3 ans])</f>
        <v>0.87116897126383286</v>
      </c>
      <c r="T20" s="37">
        <f>AVERAGE(Table113[Performance annualisée 1 an])</f>
        <v>0.30954528521099206</v>
      </c>
      <c r="U20" s="37">
        <f>AVERAGE(Table113[Volatilité annualisée 1 an])</f>
        <v>0.14587609978770538</v>
      </c>
      <c r="V20" s="37">
        <f>AVERAGE(Table113[Max Drawdown 1 an])</f>
        <v>8.8587429391255759E-2</v>
      </c>
      <c r="W20" s="42">
        <f>AVERAGE(Table113[Couple Rendement Risque 1 an])</f>
        <v>1.9095261554216443</v>
      </c>
      <c r="X20" s="38"/>
      <c r="Y20" s="37"/>
      <c r="Z20" s="37"/>
      <c r="AA20" s="37"/>
      <c r="AB20" s="37"/>
      <c r="AC20" s="37"/>
      <c r="AD20" s="37"/>
      <c r="AE20" s="37"/>
    </row>
    <row r="21" spans="1:31" s="8" customFormat="1" ht="21.75" customHeight="1" x14ac:dyDescent="0.35">
      <c r="A21" s="7"/>
      <c r="B21" s="2"/>
      <c r="C21" s="2"/>
      <c r="D21" s="2"/>
      <c r="E21" s="5"/>
      <c r="F21" s="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1"/>
      <c r="AE21" s="1"/>
    </row>
    <row r="22" spans="1:31" s="1" customFormat="1" ht="21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21.75" customHeight="1" x14ac:dyDescent="0.35">
      <c r="E23" s="2"/>
      <c r="F23" s="2"/>
    </row>
    <row r="24" spans="1:31" ht="21.75" customHeight="1" x14ac:dyDescent="0.35">
      <c r="E24" s="2"/>
      <c r="F24" s="2"/>
    </row>
    <row r="25" spans="1:31" ht="21.75" customHeight="1" x14ac:dyDescent="0.35">
      <c r="E25" s="2"/>
      <c r="F25" s="2"/>
      <c r="AB25" s="6"/>
    </row>
    <row r="26" spans="1:31" x14ac:dyDescent="0.35">
      <c r="E26" s="2"/>
      <c r="F26" s="2"/>
    </row>
    <row r="27" spans="1:31" x14ac:dyDescent="0.35">
      <c r="E27" s="2"/>
      <c r="F27" s="2"/>
    </row>
    <row r="28" spans="1:31" x14ac:dyDescent="0.35">
      <c r="E28" s="2"/>
      <c r="F28" s="2"/>
    </row>
    <row r="29" spans="1:31" x14ac:dyDescent="0.35">
      <c r="E29" s="2"/>
      <c r="F29" s="2"/>
    </row>
    <row r="30" spans="1:31" x14ac:dyDescent="0.35">
      <c r="E30" s="2"/>
      <c r="F30" s="2"/>
    </row>
    <row r="31" spans="1:31" x14ac:dyDescent="0.35">
      <c r="E31" s="2"/>
      <c r="F31" s="2"/>
    </row>
    <row r="32" spans="1:31" x14ac:dyDescent="0.35">
      <c r="E32" s="2"/>
      <c r="F32" s="2"/>
    </row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  <row r="44" s="2" customFormat="1" x14ac:dyDescent="0.35"/>
    <row r="45" s="2" customFormat="1" x14ac:dyDescent="0.35"/>
    <row r="46" s="2" customFormat="1" x14ac:dyDescent="0.35"/>
    <row r="47" s="2" customFormat="1" x14ac:dyDescent="0.35"/>
    <row r="48" s="2" customFormat="1" x14ac:dyDescent="0.35"/>
  </sheetData>
  <sheetProtection selectLockedCells="1"/>
  <phoneticPr fontId="22" type="noConversion"/>
  <conditionalFormatting sqref="C4:C19">
    <cfRule type="iconSet" priority="482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19">
    <cfRule type="iconSet" priority="482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19">
    <cfRule type="iconSet" priority="482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19">
    <cfRule type="iconSet" priority="482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19">
    <cfRule type="iconSet" priority="482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8:X28">
    <cfRule type="iconSet" priority="5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19">
    <cfRule type="iconSet" priority="483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9">
    <cfRule type="iconSet" priority="483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19">
    <cfRule type="iconSet" priority="483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9">
    <cfRule type="iconSet" priority="483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19">
    <cfRule type="iconSet" priority="483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19">
    <cfRule type="iconSet" priority="484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19">
    <cfRule type="iconSet" priority="484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9">
    <cfRule type="iconSet" priority="484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19">
    <cfRule type="iconSet" priority="484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19">
    <cfRule type="iconSet" priority="484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19">
    <cfRule type="iconSet" priority="485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9">
    <cfRule type="iconSet" priority="485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19">
    <cfRule type="iconSet" priority="485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19">
    <cfRule type="iconSet" priority="485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19">
    <cfRule type="iconSet" priority="485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9">
    <cfRule type="iconSet" priority="486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5C83B-BEF1-4263-BF43-64C7DC058301}">
  <sheetPr codeName="Feuil15">
    <tabColor rgb="FF008000"/>
    <pageSetUpPr fitToPage="1"/>
  </sheetPr>
  <dimension ref="A1:AE41"/>
  <sheetViews>
    <sheetView showGridLines="0" zoomScale="70" zoomScaleNormal="70" workbookViewId="0">
      <pane xSplit="1" topLeftCell="B1" activePane="topRight" state="frozen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customWidth="1"/>
    <col min="5" max="6" width="13.08203125" style="5" customWidth="1" outlineLevel="1"/>
    <col min="7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26</v>
      </c>
      <c r="C2" s="20">
        <v>46203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22"/>
      <c r="T2" s="4"/>
      <c r="U2" s="4"/>
      <c r="V2" s="22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8" customFormat="1" ht="21.75" customHeight="1" x14ac:dyDescent="0.35">
      <c r="A4" s="12" t="s">
        <v>241</v>
      </c>
      <c r="B4" s="13" t="s">
        <v>262</v>
      </c>
      <c r="C4" s="30" t="s">
        <v>106</v>
      </c>
      <c r="D4" s="30" t="s">
        <v>106</v>
      </c>
      <c r="E4" s="30" t="s">
        <v>106</v>
      </c>
      <c r="F4" s="30" t="s">
        <v>106</v>
      </c>
      <c r="G4" s="24" t="s">
        <v>106</v>
      </c>
      <c r="H4" s="21" t="s">
        <v>106</v>
      </c>
      <c r="I4" s="21" t="s">
        <v>106</v>
      </c>
      <c r="J4" s="21" t="s">
        <v>106</v>
      </c>
      <c r="K4" s="39" t="s">
        <v>106</v>
      </c>
      <c r="L4" s="21">
        <v>-2.6987404840291607E-2</v>
      </c>
      <c r="M4" s="21">
        <v>0.14607028104511799</v>
      </c>
      <c r="N4" s="21">
        <v>0.3615693012600229</v>
      </c>
      <c r="O4" s="41">
        <v>-0.18475630119418868</v>
      </c>
      <c r="P4" s="21">
        <v>3.1571775515613965E-2</v>
      </c>
      <c r="Q4" s="21">
        <v>0.1260815903515268</v>
      </c>
      <c r="R4" s="21">
        <v>0.21604207758053912</v>
      </c>
      <c r="S4" s="41">
        <v>0.25040749745929614</v>
      </c>
      <c r="T4" s="21">
        <v>-1.4131278345147935E-2</v>
      </c>
      <c r="U4" s="21">
        <v>0.10950507412376952</v>
      </c>
      <c r="V4" s="21">
        <v>0.17458119894780569</v>
      </c>
      <c r="W4" s="41">
        <v>-0.12904679037225139</v>
      </c>
      <c r="X4" s="31" t="s">
        <v>106</v>
      </c>
      <c r="Y4" s="33">
        <v>9</v>
      </c>
      <c r="Z4" s="33" t="s">
        <v>107</v>
      </c>
      <c r="AA4" s="47" t="s">
        <v>108</v>
      </c>
      <c r="AB4" s="47" t="s">
        <v>108</v>
      </c>
      <c r="AC4" s="47" t="s">
        <v>108</v>
      </c>
      <c r="AD4" s="47" t="s">
        <v>108</v>
      </c>
      <c r="AE4" s="47" t="s">
        <v>33</v>
      </c>
    </row>
    <row r="5" spans="1:31" s="8" customFormat="1" ht="21.75" customHeight="1" x14ac:dyDescent="0.35">
      <c r="A5" s="12" t="s">
        <v>27</v>
      </c>
      <c r="B5" s="13" t="s">
        <v>40</v>
      </c>
      <c r="C5" s="30" t="s">
        <v>106</v>
      </c>
      <c r="D5" s="30" t="s">
        <v>106</v>
      </c>
      <c r="E5" s="30" t="s">
        <v>106</v>
      </c>
      <c r="F5" s="30" t="s">
        <v>106</v>
      </c>
      <c r="G5" s="24" t="s">
        <v>106</v>
      </c>
      <c r="H5" s="21">
        <v>8.4634541799678997E-2</v>
      </c>
      <c r="I5" s="21">
        <v>0.14062584538144654</v>
      </c>
      <c r="J5" s="21">
        <v>0.29055966102643288</v>
      </c>
      <c r="K5" s="39">
        <v>0.60184201254121139</v>
      </c>
      <c r="L5" s="21">
        <v>8.7026683480338152E-2</v>
      </c>
      <c r="M5" s="21">
        <v>0.13524315318456273</v>
      </c>
      <c r="N5" s="21">
        <v>0.18496847414880196</v>
      </c>
      <c r="O5" s="41">
        <v>0.64348310011357956</v>
      </c>
      <c r="P5" s="21">
        <v>0.10632242179647888</v>
      </c>
      <c r="Q5" s="21">
        <v>0.12395804919722367</v>
      </c>
      <c r="R5" s="21">
        <v>0.18496847414880196</v>
      </c>
      <c r="S5" s="41">
        <v>0.85772906628527534</v>
      </c>
      <c r="T5" s="21">
        <v>0.13158552323403216</v>
      </c>
      <c r="U5" s="21">
        <v>0.10977780659085075</v>
      </c>
      <c r="V5" s="21">
        <v>0.11006384919428397</v>
      </c>
      <c r="W5" s="41">
        <v>1.1986532371197782</v>
      </c>
      <c r="X5" s="31">
        <v>45291</v>
      </c>
      <c r="Y5" s="33">
        <v>8</v>
      </c>
      <c r="Z5" s="33" t="s">
        <v>107</v>
      </c>
      <c r="AA5" s="47" t="s">
        <v>108</v>
      </c>
      <c r="AB5" s="47" t="s">
        <v>108</v>
      </c>
      <c r="AC5" s="47" t="s">
        <v>108</v>
      </c>
      <c r="AD5" s="47" t="s">
        <v>108</v>
      </c>
      <c r="AE5" s="47" t="s">
        <v>33</v>
      </c>
    </row>
    <row r="6" spans="1:31" s="8" customFormat="1" ht="21.5" customHeight="1" x14ac:dyDescent="0.35">
      <c r="A6" s="12" t="s">
        <v>131</v>
      </c>
      <c r="B6" s="13" t="s">
        <v>141</v>
      </c>
      <c r="C6" s="32">
        <v>3.9783278550178824E-2</v>
      </c>
      <c r="D6" s="32">
        <v>1.0577383458646614</v>
      </c>
      <c r="E6" s="32">
        <v>0.18942396711173765</v>
      </c>
      <c r="F6" s="32">
        <v>0.54081203007518797</v>
      </c>
      <c r="G6" s="25">
        <v>0.21002241245803607</v>
      </c>
      <c r="H6" s="14">
        <v>8.0666619415231455E-2</v>
      </c>
      <c r="I6" s="14">
        <v>0.15173451382461564</v>
      </c>
      <c r="J6" s="14">
        <v>0.32418446508113619</v>
      </c>
      <c r="K6" s="40">
        <v>0.53162999888391271</v>
      </c>
      <c r="L6" s="14">
        <v>7.2752740245561887E-2</v>
      </c>
      <c r="M6" s="14">
        <v>0.14856486611095499</v>
      </c>
      <c r="N6" s="14">
        <v>0.25421264285119244</v>
      </c>
      <c r="O6" s="44">
        <v>0.48970353590348098</v>
      </c>
      <c r="P6" s="14">
        <v>0.1118920431455821</v>
      </c>
      <c r="Q6" s="14">
        <v>0.13537614902374387</v>
      </c>
      <c r="R6" s="14">
        <v>0.13736516143742861</v>
      </c>
      <c r="S6" s="44">
        <v>0.82652700606779084</v>
      </c>
      <c r="T6" s="14">
        <v>0.16487261760379446</v>
      </c>
      <c r="U6" s="14">
        <v>0.15517665028883484</v>
      </c>
      <c r="V6" s="14">
        <v>0.11531096848589673</v>
      </c>
      <c r="W6" s="44">
        <v>1.0624834167828228</v>
      </c>
      <c r="X6" s="31">
        <v>44012</v>
      </c>
      <c r="Y6" s="33">
        <v>8</v>
      </c>
      <c r="Z6" s="33" t="s">
        <v>30</v>
      </c>
      <c r="AA6" s="47" t="s">
        <v>32</v>
      </c>
      <c r="AB6" s="47" t="s">
        <v>32</v>
      </c>
      <c r="AC6" s="47" t="s">
        <v>30</v>
      </c>
      <c r="AD6" s="47" t="s">
        <v>32</v>
      </c>
      <c r="AE6" s="47" t="s">
        <v>31</v>
      </c>
    </row>
    <row r="7" spans="1:31" s="8" customFormat="1" ht="21.5" customHeight="1" x14ac:dyDescent="0.35">
      <c r="A7" s="12" t="s">
        <v>48</v>
      </c>
      <c r="B7" s="13" t="s">
        <v>103</v>
      </c>
      <c r="C7" s="32" t="s">
        <v>106</v>
      </c>
      <c r="D7" s="32" t="s">
        <v>106</v>
      </c>
      <c r="E7" s="32" t="s">
        <v>106</v>
      </c>
      <c r="F7" s="32" t="s">
        <v>106</v>
      </c>
      <c r="G7" s="25" t="s">
        <v>106</v>
      </c>
      <c r="H7" s="14">
        <v>9.9491823944499957E-2</v>
      </c>
      <c r="I7" s="14">
        <v>0.13934945761414994</v>
      </c>
      <c r="J7" s="14">
        <v>0.33198753384882351</v>
      </c>
      <c r="K7" s="40">
        <v>0.71397352847964923</v>
      </c>
      <c r="L7" s="14">
        <v>4.6032626797249732E-2</v>
      </c>
      <c r="M7" s="14">
        <v>0.15321665256609163</v>
      </c>
      <c r="N7" s="14">
        <v>0.33198753384882351</v>
      </c>
      <c r="O7" s="44">
        <v>0.30044140781233342</v>
      </c>
      <c r="P7" s="14">
        <v>9.8341431566281612E-2</v>
      </c>
      <c r="Q7" s="14">
        <v>0.13689659828555992</v>
      </c>
      <c r="R7" s="14">
        <v>0.20029294073758283</v>
      </c>
      <c r="S7" s="44">
        <v>0.71836285779100206</v>
      </c>
      <c r="T7" s="14">
        <v>0.13975608692967834</v>
      </c>
      <c r="U7" s="14">
        <v>0.14799759744920155</v>
      </c>
      <c r="V7" s="14">
        <v>0.1272836449092698</v>
      </c>
      <c r="W7" s="44">
        <v>0.94431321412260083</v>
      </c>
      <c r="X7" s="31" t="s">
        <v>106</v>
      </c>
      <c r="Y7" s="33">
        <v>8</v>
      </c>
      <c r="Z7" s="33" t="s">
        <v>108</v>
      </c>
      <c r="AA7" s="47" t="s">
        <v>106</v>
      </c>
      <c r="AB7" s="47" t="s">
        <v>108</v>
      </c>
      <c r="AC7" s="47" t="s">
        <v>108</v>
      </c>
      <c r="AD7" s="47" t="s">
        <v>106</v>
      </c>
      <c r="AE7" s="47" t="s">
        <v>33</v>
      </c>
    </row>
    <row r="8" spans="1:31" s="8" customFormat="1" ht="21.5" customHeight="1" x14ac:dyDescent="0.35">
      <c r="A8" s="12" t="s">
        <v>58</v>
      </c>
      <c r="B8" s="13" t="s">
        <v>104</v>
      </c>
      <c r="C8" s="32" t="s">
        <v>106</v>
      </c>
      <c r="D8" s="32" t="s">
        <v>106</v>
      </c>
      <c r="E8" s="32" t="s">
        <v>106</v>
      </c>
      <c r="F8" s="32" t="s">
        <v>106</v>
      </c>
      <c r="G8" s="25" t="s">
        <v>106</v>
      </c>
      <c r="H8" s="14" t="s">
        <v>106</v>
      </c>
      <c r="I8" s="14" t="s">
        <v>106</v>
      </c>
      <c r="J8" s="14" t="s">
        <v>106</v>
      </c>
      <c r="K8" s="40" t="s">
        <v>106</v>
      </c>
      <c r="L8" s="14" t="s">
        <v>106</v>
      </c>
      <c r="M8" s="14" t="s">
        <v>106</v>
      </c>
      <c r="N8" s="14" t="s">
        <v>106</v>
      </c>
      <c r="O8" s="44" t="s">
        <v>106</v>
      </c>
      <c r="P8" s="14">
        <v>0.11549626940392232</v>
      </c>
      <c r="Q8" s="14">
        <v>0.11550588710873393</v>
      </c>
      <c r="R8" s="14">
        <v>0.17054431004690196</v>
      </c>
      <c r="S8" s="44">
        <v>0.99991673407258841</v>
      </c>
      <c r="T8" s="14">
        <v>0.21430409095796121</v>
      </c>
      <c r="U8" s="14">
        <v>0.10896529738264055</v>
      </c>
      <c r="V8" s="14">
        <v>9.0359689153921327E-2</v>
      </c>
      <c r="W8" s="44">
        <v>1.9667187270220068</v>
      </c>
      <c r="X8" s="31" t="s">
        <v>106</v>
      </c>
      <c r="Y8" s="33">
        <v>9</v>
      </c>
      <c r="Z8" s="33" t="s">
        <v>107</v>
      </c>
      <c r="AA8" s="47" t="s">
        <v>106</v>
      </c>
      <c r="AB8" s="47" t="s">
        <v>108</v>
      </c>
      <c r="AC8" s="47" t="s">
        <v>108</v>
      </c>
      <c r="AD8" s="47" t="s">
        <v>106</v>
      </c>
      <c r="AE8" s="47" t="s">
        <v>33</v>
      </c>
    </row>
    <row r="9" spans="1:31" s="8" customFormat="1" ht="21.5" customHeight="1" x14ac:dyDescent="0.35">
      <c r="A9" s="12" t="s">
        <v>50</v>
      </c>
      <c r="B9" s="13" t="s">
        <v>263</v>
      </c>
      <c r="C9" s="32" t="s">
        <v>106</v>
      </c>
      <c r="D9" s="32" t="s">
        <v>106</v>
      </c>
      <c r="E9" s="32" t="s">
        <v>106</v>
      </c>
      <c r="F9" s="32" t="s">
        <v>106</v>
      </c>
      <c r="G9" s="25" t="s">
        <v>106</v>
      </c>
      <c r="H9" s="14">
        <v>5.0731378636849511E-2</v>
      </c>
      <c r="I9" s="14">
        <v>0.13760255076532404</v>
      </c>
      <c r="J9" s="14">
        <v>0.2913728658960833</v>
      </c>
      <c r="K9" s="40">
        <v>0.36868051031532084</v>
      </c>
      <c r="L9" s="14">
        <v>-2.666276234555176E-3</v>
      </c>
      <c r="M9" s="14">
        <v>0.14136593202543152</v>
      </c>
      <c r="N9" s="14">
        <v>0.25444661561302628</v>
      </c>
      <c r="O9" s="44">
        <v>-1.8860811769525327E-2</v>
      </c>
      <c r="P9" s="14">
        <v>-7.4189218895159836E-4</v>
      </c>
      <c r="Q9" s="14">
        <v>0.12573562970379101</v>
      </c>
      <c r="R9" s="14">
        <v>0.20615593130842133</v>
      </c>
      <c r="S9" s="44">
        <v>-5.9004133569725134E-3</v>
      </c>
      <c r="T9" s="14">
        <v>2.4910318986173019E-2</v>
      </c>
      <c r="U9" s="14">
        <v>0.12164251548176634</v>
      </c>
      <c r="V9" s="14">
        <v>0.11750720721282847</v>
      </c>
      <c r="W9" s="44">
        <v>0.20478299784837123</v>
      </c>
      <c r="X9" s="31">
        <v>45838</v>
      </c>
      <c r="Y9" s="33">
        <v>9</v>
      </c>
      <c r="Z9" s="33" t="s">
        <v>264</v>
      </c>
      <c r="AA9" s="47" t="s">
        <v>30</v>
      </c>
      <c r="AB9" s="47" t="s">
        <v>196</v>
      </c>
      <c r="AC9" s="47" t="s">
        <v>30</v>
      </c>
      <c r="AD9" s="47" t="s">
        <v>32</v>
      </c>
      <c r="AE9" s="47" t="s">
        <v>31</v>
      </c>
    </row>
    <row r="10" spans="1:31" s="8" customFormat="1" ht="21.5" customHeight="1" x14ac:dyDescent="0.35">
      <c r="A10" s="12" t="s">
        <v>59</v>
      </c>
      <c r="B10" s="13" t="s">
        <v>235</v>
      </c>
      <c r="C10" s="32">
        <v>6.9880279226165243E-2</v>
      </c>
      <c r="D10" s="32">
        <v>2.4882734236888631</v>
      </c>
      <c r="E10" s="32">
        <v>0.16762297147469951</v>
      </c>
      <c r="F10" s="32">
        <v>0.38622881355932209</v>
      </c>
      <c r="G10" s="25">
        <v>0.41688963398857748</v>
      </c>
      <c r="H10" s="14">
        <v>2.3098480473161542E-2</v>
      </c>
      <c r="I10" s="14">
        <v>0.1585383220271738</v>
      </c>
      <c r="J10" s="14">
        <v>0.36504000374304024</v>
      </c>
      <c r="K10" s="40">
        <v>0.14569651159296623</v>
      </c>
      <c r="L10" s="14">
        <v>-3.7123201419969498E-2</v>
      </c>
      <c r="M10" s="14">
        <v>0.15447493811191304</v>
      </c>
      <c r="N10" s="14">
        <v>0.36504000374304024</v>
      </c>
      <c r="O10" s="44">
        <v>-0.24031860361112242</v>
      </c>
      <c r="P10" s="14">
        <v>-5.0569154581625586E-2</v>
      </c>
      <c r="Q10" s="14">
        <v>0.15499574371404387</v>
      </c>
      <c r="R10" s="14">
        <v>0.36504000374304024</v>
      </c>
      <c r="S10" s="44">
        <v>-0.32626156931716838</v>
      </c>
      <c r="T10" s="14">
        <v>-0.15281709241839991</v>
      </c>
      <c r="U10" s="14">
        <v>0.16678759323717673</v>
      </c>
      <c r="V10" s="14">
        <v>0.23893110506687598</v>
      </c>
      <c r="W10" s="44">
        <v>-0.91623776956292924</v>
      </c>
      <c r="X10" s="31" t="s">
        <v>106</v>
      </c>
      <c r="Y10" s="35">
        <v>8</v>
      </c>
      <c r="Z10" s="33" t="s">
        <v>108</v>
      </c>
      <c r="AA10" s="47" t="s">
        <v>108</v>
      </c>
      <c r="AB10" s="47" t="s">
        <v>108</v>
      </c>
      <c r="AC10" s="47" t="s">
        <v>108</v>
      </c>
      <c r="AD10" s="47" t="s">
        <v>108</v>
      </c>
      <c r="AE10" s="47" t="s">
        <v>33</v>
      </c>
    </row>
    <row r="11" spans="1:31" s="8" customFormat="1" ht="21.5" customHeight="1" x14ac:dyDescent="0.35">
      <c r="A11" s="12" t="s">
        <v>150</v>
      </c>
      <c r="B11" s="13" t="s">
        <v>144</v>
      </c>
      <c r="C11" s="32" t="s">
        <v>106</v>
      </c>
      <c r="D11" s="32" t="s">
        <v>106</v>
      </c>
      <c r="E11" s="32" t="s">
        <v>106</v>
      </c>
      <c r="F11" s="32" t="s">
        <v>106</v>
      </c>
      <c r="G11" s="25" t="s">
        <v>106</v>
      </c>
      <c r="H11" s="14">
        <v>7.6252848388368211E-2</v>
      </c>
      <c r="I11" s="14">
        <v>0.15113633410919536</v>
      </c>
      <c r="J11" s="14">
        <v>0.35416666666666674</v>
      </c>
      <c r="K11" s="40">
        <v>0.50453022324384189</v>
      </c>
      <c r="L11" s="14">
        <v>8.8500078856039055E-2</v>
      </c>
      <c r="M11" s="14">
        <v>0.14442945307775279</v>
      </c>
      <c r="N11" s="14">
        <v>0.22046285018270406</v>
      </c>
      <c r="O11" s="44">
        <v>0.61275644939537044</v>
      </c>
      <c r="P11" s="14">
        <v>0.12224240662435504</v>
      </c>
      <c r="Q11" s="14">
        <v>0.13050634404029646</v>
      </c>
      <c r="R11" s="14">
        <v>0.14659733625250912</v>
      </c>
      <c r="S11" s="44">
        <v>0.93667788737235824</v>
      </c>
      <c r="T11" s="14">
        <v>0.1819534139071699</v>
      </c>
      <c r="U11" s="14">
        <v>0.13245584762909041</v>
      </c>
      <c r="V11" s="14">
        <v>0.10271460014673559</v>
      </c>
      <c r="W11" s="44">
        <v>1.3736910613164102</v>
      </c>
      <c r="X11" s="31" t="s">
        <v>106</v>
      </c>
      <c r="Y11" s="33">
        <v>8</v>
      </c>
      <c r="Z11" s="33" t="s">
        <v>108</v>
      </c>
      <c r="AA11" s="47" t="s">
        <v>107</v>
      </c>
      <c r="AB11" s="47" t="s">
        <v>108</v>
      </c>
      <c r="AC11" s="47" t="s">
        <v>108</v>
      </c>
      <c r="AD11" s="47" t="s">
        <v>108</v>
      </c>
      <c r="AE11" s="47" t="s">
        <v>102</v>
      </c>
    </row>
    <row r="12" spans="1:31" s="8" customFormat="1" ht="21.5" customHeight="1" x14ac:dyDescent="0.35">
      <c r="A12" s="12"/>
      <c r="B12" s="13"/>
      <c r="C12" s="14"/>
      <c r="D12" s="14"/>
      <c r="E12" s="14"/>
      <c r="F12" s="14"/>
      <c r="G12" s="25"/>
      <c r="H12" s="14"/>
      <c r="I12" s="14"/>
      <c r="J12" s="14"/>
      <c r="K12" s="25"/>
      <c r="L12" s="14"/>
      <c r="M12" s="14"/>
      <c r="N12" s="14"/>
      <c r="O12" s="25"/>
      <c r="P12" s="14"/>
      <c r="Q12" s="14"/>
      <c r="R12" s="14"/>
      <c r="S12" s="25"/>
      <c r="T12" s="14"/>
      <c r="U12" s="14"/>
      <c r="V12" s="14"/>
      <c r="W12" s="25"/>
      <c r="X12" s="16"/>
      <c r="Y12" s="28"/>
      <c r="Z12" s="15"/>
      <c r="AA12" s="15"/>
      <c r="AB12" s="15"/>
      <c r="AC12" s="15"/>
      <c r="AD12" s="27"/>
    </row>
    <row r="13" spans="1:31" s="1" customFormat="1" ht="21.75" customHeight="1" x14ac:dyDescent="0.35">
      <c r="A13" s="36" t="s">
        <v>2</v>
      </c>
      <c r="B13" s="36" t="s">
        <v>3</v>
      </c>
      <c r="C13" s="37">
        <f>AVERAGE(Table11314[Performance annualisée depuis 01/08])</f>
        <v>5.4831778888172034E-2</v>
      </c>
      <c r="D13" s="37">
        <f>AVERAGE(Table11314[Perf. Totale depuis 01/08])</f>
        <v>1.7730058847767622</v>
      </c>
      <c r="E13" s="37">
        <f>AVERAGE(Table11314[Volatilité annualisée depuis 01/08])</f>
        <v>0.17852346929321858</v>
      </c>
      <c r="F13" s="37">
        <f>AVERAGE(Table11314[Max Drawdown depuis 01/08])</f>
        <v>0.46352042181725506</v>
      </c>
      <c r="G13" s="34">
        <f>AVERAGE(Table11314[Couple Rendement / Risque depuis 01/08])</f>
        <v>0.31345602322330679</v>
      </c>
      <c r="H13" s="37">
        <f>AVERAGE(Table11314[Performance annualisée 10 ans])</f>
        <v>6.9145948776298274E-2</v>
      </c>
      <c r="I13" s="37">
        <f>AVERAGE(Table11314[Volatilité annualisée 10 ans])</f>
        <v>0.14649783728698421</v>
      </c>
      <c r="J13" s="37">
        <f>AVERAGE(Table11314[Max Drawdown 10 ans])</f>
        <v>0.32621853271036383</v>
      </c>
      <c r="K13" s="42">
        <f>AVERAGE(Table11314[Couple Rendement Risque 10 ans])</f>
        <v>0.47772546417615042</v>
      </c>
      <c r="L13" s="37">
        <f>AVERAGE(Table11314[Performance annualisée 5 ans])</f>
        <v>3.2505035269196077E-2</v>
      </c>
      <c r="M13" s="37">
        <f>AVERAGE(Table11314[Volatilité annualisée 5 ans])</f>
        <v>0.14619503944597495</v>
      </c>
      <c r="N13" s="37">
        <f>AVERAGE(Table11314[Max Drawdown 5 ans])</f>
        <v>0.28181248880680165</v>
      </c>
      <c r="O13" s="42">
        <f>AVERAGE(Table11314[Couple Rendement Risque 5 ans])</f>
        <v>0.22892125380713255</v>
      </c>
      <c r="P13" s="37">
        <f>AVERAGE(Table11314[Performance annualisée 3 ans])</f>
        <v>6.6819412660207092E-2</v>
      </c>
      <c r="Q13" s="37">
        <f>AVERAGE(Table11314[Volatilité annualisée 3 ans])</f>
        <v>0.13113199892811495</v>
      </c>
      <c r="R13" s="37">
        <f>AVERAGE(Table11314[Max Drawdown 3 ans])</f>
        <v>0.20337577940690313</v>
      </c>
      <c r="S13" s="42">
        <f>AVERAGE(Table11314[Couple Rendement Risque 3 ans])</f>
        <v>0.53218238329677126</v>
      </c>
      <c r="T13" s="37">
        <f>AVERAGE(Table11314[Performance annualisée 1 an])</f>
        <v>8.6304210106907656E-2</v>
      </c>
      <c r="U13" s="37">
        <f>AVERAGE(Table11314[Volatilité annualisée 1 an])</f>
        <v>0.13153854777291632</v>
      </c>
      <c r="V13" s="37">
        <f>AVERAGE(Table11314[Max Drawdown 1 an])</f>
        <v>0.1345940328897022</v>
      </c>
      <c r="W13" s="42">
        <f>AVERAGE(Table11314[Couple Rendement Risque 1 an])</f>
        <v>0.71316976178460112</v>
      </c>
      <c r="X13" s="38"/>
      <c r="Y13" s="37"/>
      <c r="Z13" s="37"/>
      <c r="AA13" s="37"/>
      <c r="AB13" s="37"/>
      <c r="AC13" s="37"/>
      <c r="AD13" s="37"/>
      <c r="AE13" s="37"/>
    </row>
    <row r="14" spans="1:31" ht="21.75" customHeight="1" x14ac:dyDescent="0.35">
      <c r="A14" s="7"/>
      <c r="AD14" s="1"/>
      <c r="AE14" s="1"/>
    </row>
    <row r="15" spans="1:31" ht="21.75" customHeight="1" x14ac:dyDescent="0.35">
      <c r="E15" s="2"/>
      <c r="F15" s="2"/>
    </row>
    <row r="16" spans="1:31" ht="21.75" customHeight="1" x14ac:dyDescent="0.35">
      <c r="E16" s="2"/>
      <c r="F16" s="2"/>
    </row>
    <row r="17" spans="5:28" x14ac:dyDescent="0.35">
      <c r="E17" s="2"/>
      <c r="F17" s="2"/>
    </row>
    <row r="18" spans="5:28" x14ac:dyDescent="0.35">
      <c r="E18" s="2"/>
      <c r="F18" s="2"/>
      <c r="AB18" s="6"/>
    </row>
    <row r="19" spans="5:28" x14ac:dyDescent="0.35">
      <c r="E19" s="2"/>
      <c r="F19" s="2"/>
    </row>
    <row r="20" spans="5:28" x14ac:dyDescent="0.35">
      <c r="E20" s="2"/>
      <c r="F20" s="2"/>
    </row>
    <row r="21" spans="5:28" x14ac:dyDescent="0.35">
      <c r="E21" s="2"/>
      <c r="F21" s="2"/>
    </row>
    <row r="22" spans="5:28" x14ac:dyDescent="0.35">
      <c r="E22" s="2"/>
      <c r="F22" s="2"/>
    </row>
    <row r="23" spans="5:28" x14ac:dyDescent="0.35">
      <c r="E23" s="2"/>
      <c r="F23" s="2"/>
    </row>
    <row r="24" spans="5:28" x14ac:dyDescent="0.35">
      <c r="E24" s="2"/>
      <c r="F24" s="2"/>
    </row>
    <row r="25" spans="5:28" x14ac:dyDescent="0.35">
      <c r="E25" s="2"/>
      <c r="F25" s="2"/>
    </row>
    <row r="26" spans="5:28" x14ac:dyDescent="0.35">
      <c r="E26" s="2"/>
      <c r="F26" s="2"/>
    </row>
    <row r="27" spans="5:28" x14ac:dyDescent="0.35">
      <c r="E27" s="2"/>
      <c r="F27" s="2"/>
    </row>
    <row r="28" spans="5:28" x14ac:dyDescent="0.35">
      <c r="E28" s="2"/>
      <c r="F28" s="2"/>
    </row>
    <row r="29" spans="5:28" x14ac:dyDescent="0.35">
      <c r="E29" s="2"/>
      <c r="F29" s="2"/>
    </row>
    <row r="30" spans="5:28" x14ac:dyDescent="0.35">
      <c r="E30" s="2"/>
      <c r="F30" s="2"/>
    </row>
    <row r="31" spans="5:28" x14ac:dyDescent="0.35">
      <c r="E31" s="2"/>
      <c r="F31" s="2"/>
    </row>
    <row r="32" spans="5:28" x14ac:dyDescent="0.35">
      <c r="E32" s="2"/>
      <c r="F32" s="2"/>
    </row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</sheetData>
  <sheetProtection selectLockedCells="1"/>
  <phoneticPr fontId="22" type="noConversion"/>
  <conditionalFormatting sqref="C4:C12">
    <cfRule type="iconSet" priority="4780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12">
    <cfRule type="iconSet" priority="478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12">
    <cfRule type="iconSet" priority="4784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12">
    <cfRule type="iconSet" priority="478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12">
    <cfRule type="iconSet" priority="478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1:X21">
    <cfRule type="iconSet" priority="5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12">
    <cfRule type="iconSet" priority="4790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2">
    <cfRule type="iconSet" priority="479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12">
    <cfRule type="iconSet" priority="4794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2">
    <cfRule type="iconSet" priority="479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12">
    <cfRule type="iconSet" priority="4798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12">
    <cfRule type="iconSet" priority="480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12">
    <cfRule type="iconSet" priority="4802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2">
    <cfRule type="iconSet" priority="480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12">
    <cfRule type="iconSet" priority="480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12">
    <cfRule type="iconSet" priority="480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12">
    <cfRule type="iconSet" priority="4810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2">
    <cfRule type="iconSet" priority="481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12">
    <cfRule type="iconSet" priority="481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12">
    <cfRule type="iconSet" priority="4816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12">
    <cfRule type="iconSet" priority="4818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2">
    <cfRule type="iconSet" priority="4820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36F1-20A3-41BE-BE33-68A74F9951FB}">
  <sheetPr>
    <tabColor rgb="FF008000"/>
    <pageSetUpPr fitToPage="1"/>
  </sheetPr>
  <dimension ref="A1:AE48"/>
  <sheetViews>
    <sheetView showGridLines="0" zoomScale="70" zoomScaleNormal="70" workbookViewId="0">
      <pane xSplit="1" topLeftCell="B1" activePane="topRight" state="frozen"/>
      <selection pane="topRight"/>
    </sheetView>
  </sheetViews>
  <sheetFormatPr baseColWidth="10" defaultColWidth="10.58203125" defaultRowHeight="15.5" outlineLevelCol="1" x14ac:dyDescent="0.35"/>
  <cols>
    <col min="1" max="1" width="16.58203125" style="2" customWidth="1"/>
    <col min="2" max="2" width="35.58203125" style="2" customWidth="1"/>
    <col min="3" max="4" width="13.08203125" style="2" hidden="1" customWidth="1"/>
    <col min="5" max="6" width="13.08203125" style="5" hidden="1" customWidth="1" outlineLevel="1"/>
    <col min="7" max="7" width="13.08203125" style="2" hidden="1" customWidth="1" outlineLevel="1"/>
    <col min="8" max="11" width="13.08203125" style="2" customWidth="1" outlineLevel="1"/>
    <col min="12" max="12" width="13.08203125" style="2" customWidth="1"/>
    <col min="13" max="15" width="13.08203125" style="2" customWidth="1" outlineLevel="1"/>
    <col min="16" max="16" width="13.08203125" style="2" customWidth="1"/>
    <col min="17" max="19" width="13.08203125" style="2" customWidth="1" outlineLevel="1"/>
    <col min="20" max="20" width="13.08203125" style="2" customWidth="1"/>
    <col min="21" max="23" width="13.08203125" style="2" customWidth="1" outlineLevel="1"/>
    <col min="24" max="29" width="13.08203125" style="2" customWidth="1"/>
    <col min="30" max="16384" width="10.58203125" style="2"/>
  </cols>
  <sheetData>
    <row r="1" spans="1:31" s="8" customFormat="1" ht="21" x14ac:dyDescent="0.35">
      <c r="A1" s="18" t="s">
        <v>46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s="1" customFormat="1" ht="21" x14ac:dyDescent="0.5">
      <c r="A2" s="17" t="s">
        <v>15</v>
      </c>
      <c r="B2" s="19" t="s">
        <v>236</v>
      </c>
      <c r="C2" s="20">
        <v>46203</v>
      </c>
      <c r="E2" s="3"/>
      <c r="F2" s="3"/>
      <c r="G2" s="4"/>
      <c r="H2" s="20"/>
      <c r="I2" s="4"/>
      <c r="J2" s="4"/>
      <c r="K2" s="4"/>
      <c r="L2" s="4"/>
      <c r="M2" s="4"/>
      <c r="N2" s="4"/>
      <c r="O2" s="4"/>
      <c r="P2" s="4"/>
      <c r="Q2" s="4"/>
      <c r="R2" s="4"/>
      <c r="S2" s="22"/>
      <c r="T2" s="4"/>
      <c r="U2" s="4"/>
      <c r="V2" s="22"/>
      <c r="W2" s="4"/>
      <c r="X2" s="4"/>
      <c r="Y2" s="4"/>
      <c r="Z2" s="4"/>
      <c r="AA2" s="4"/>
      <c r="AB2" s="4"/>
      <c r="AC2" s="4"/>
    </row>
    <row r="3" spans="1:31" s="1" customFormat="1" ht="80" customHeight="1" x14ac:dyDescent="0.35">
      <c r="A3" s="11" t="s">
        <v>0</v>
      </c>
      <c r="B3" s="11" t="s">
        <v>1</v>
      </c>
      <c r="C3" s="11" t="s">
        <v>130</v>
      </c>
      <c r="D3" s="11" t="s">
        <v>120</v>
      </c>
      <c r="E3" s="11" t="s">
        <v>4</v>
      </c>
      <c r="F3" s="11" t="s">
        <v>5</v>
      </c>
      <c r="G3" s="11" t="s">
        <v>12</v>
      </c>
      <c r="H3" s="11" t="s">
        <v>23</v>
      </c>
      <c r="I3" s="11" t="s">
        <v>121</v>
      </c>
      <c r="J3" s="11" t="s">
        <v>122</v>
      </c>
      <c r="K3" s="11" t="s">
        <v>24</v>
      </c>
      <c r="L3" s="11" t="s">
        <v>7</v>
      </c>
      <c r="M3" s="11" t="s">
        <v>123</v>
      </c>
      <c r="N3" s="11" t="s">
        <v>124</v>
      </c>
      <c r="O3" s="11" t="s">
        <v>10</v>
      </c>
      <c r="P3" s="11" t="s">
        <v>8</v>
      </c>
      <c r="Q3" s="11" t="s">
        <v>125</v>
      </c>
      <c r="R3" s="11" t="s">
        <v>126</v>
      </c>
      <c r="S3" s="11" t="s">
        <v>127</v>
      </c>
      <c r="T3" s="11" t="s">
        <v>14</v>
      </c>
      <c r="U3" s="11" t="s">
        <v>128</v>
      </c>
      <c r="V3" s="11" t="s">
        <v>129</v>
      </c>
      <c r="W3" s="11" t="s">
        <v>11</v>
      </c>
      <c r="X3" s="11" t="s">
        <v>6</v>
      </c>
      <c r="Y3" s="11" t="s">
        <v>133</v>
      </c>
      <c r="Z3" s="11" t="s">
        <v>134</v>
      </c>
      <c r="AA3" s="11" t="s">
        <v>135</v>
      </c>
      <c r="AB3" s="11" t="s">
        <v>136</v>
      </c>
      <c r="AC3" s="11" t="s">
        <v>137</v>
      </c>
      <c r="AD3" s="11" t="s">
        <v>138</v>
      </c>
      <c r="AE3" s="11" t="s">
        <v>9</v>
      </c>
    </row>
    <row r="4" spans="1:31" s="8" customFormat="1" ht="21.75" customHeight="1" x14ac:dyDescent="0.35">
      <c r="A4" s="12" t="s">
        <v>47</v>
      </c>
      <c r="B4" s="13" t="s">
        <v>240</v>
      </c>
      <c r="C4" s="30" t="s">
        <v>106</v>
      </c>
      <c r="D4" s="30" t="s">
        <v>106</v>
      </c>
      <c r="E4" s="30" t="s">
        <v>106</v>
      </c>
      <c r="F4" s="30" t="s">
        <v>106</v>
      </c>
      <c r="G4" s="24" t="s">
        <v>106</v>
      </c>
      <c r="H4" s="21" t="s">
        <v>106</v>
      </c>
      <c r="I4" s="21" t="s">
        <v>106</v>
      </c>
      <c r="J4" s="21" t="s">
        <v>106</v>
      </c>
      <c r="K4" s="24" t="s">
        <v>106</v>
      </c>
      <c r="L4" s="21" t="s">
        <v>106</v>
      </c>
      <c r="M4" s="21" t="s">
        <v>106</v>
      </c>
      <c r="N4" s="21" t="s">
        <v>106</v>
      </c>
      <c r="O4" s="41" t="s">
        <v>106</v>
      </c>
      <c r="P4" s="21" t="s">
        <v>106</v>
      </c>
      <c r="Q4" s="21" t="s">
        <v>106</v>
      </c>
      <c r="R4" s="21" t="s">
        <v>106</v>
      </c>
      <c r="S4" s="41" t="s">
        <v>106</v>
      </c>
      <c r="T4" s="21">
        <v>0.16262697009331095</v>
      </c>
      <c r="U4" s="21">
        <v>0.16664457273623409</v>
      </c>
      <c r="V4" s="21">
        <v>0.12939591605218367</v>
      </c>
      <c r="W4" s="41">
        <v>0.97589118819199572</v>
      </c>
      <c r="X4" s="31" t="s">
        <v>106</v>
      </c>
      <c r="Y4" s="33" t="s">
        <v>106</v>
      </c>
      <c r="Z4" s="33" t="s">
        <v>106</v>
      </c>
      <c r="AA4" s="33" t="s">
        <v>106</v>
      </c>
      <c r="AB4" s="47" t="s">
        <v>106</v>
      </c>
      <c r="AC4" s="47" t="s">
        <v>106</v>
      </c>
      <c r="AD4" s="47" t="s">
        <v>106</v>
      </c>
      <c r="AE4" s="47" t="s">
        <v>106</v>
      </c>
    </row>
    <row r="5" spans="1:31" s="8" customFormat="1" ht="21.75" customHeight="1" x14ac:dyDescent="0.35">
      <c r="A5" s="12" t="s">
        <v>68</v>
      </c>
      <c r="B5" s="13" t="s">
        <v>197</v>
      </c>
      <c r="C5" s="32" t="s">
        <v>106</v>
      </c>
      <c r="D5" s="32" t="s">
        <v>106</v>
      </c>
      <c r="E5" s="32" t="s">
        <v>106</v>
      </c>
      <c r="F5" s="32" t="s">
        <v>106</v>
      </c>
      <c r="G5" s="25" t="s">
        <v>106</v>
      </c>
      <c r="H5" s="14" t="s">
        <v>106</v>
      </c>
      <c r="I5" s="14" t="s">
        <v>106</v>
      </c>
      <c r="J5" s="14" t="s">
        <v>106</v>
      </c>
      <c r="K5" s="24" t="s">
        <v>106</v>
      </c>
      <c r="L5" s="14">
        <v>0.13881559768988083</v>
      </c>
      <c r="M5" s="14">
        <v>0.19659885691977769</v>
      </c>
      <c r="N5" s="14">
        <v>0.25439698492462315</v>
      </c>
      <c r="O5" s="44">
        <v>0.70608547712220238</v>
      </c>
      <c r="P5" s="14">
        <v>0.21145638838620462</v>
      </c>
      <c r="Q5" s="14">
        <v>0.18482320082616191</v>
      </c>
      <c r="R5" s="14">
        <v>0.25439698492462315</v>
      </c>
      <c r="S5" s="44">
        <v>1.1441008890712423</v>
      </c>
      <c r="T5" s="14">
        <v>0.28076298516351916</v>
      </c>
      <c r="U5" s="14">
        <v>0.16077714518000663</v>
      </c>
      <c r="V5" s="14">
        <v>8.1831187410586523E-2</v>
      </c>
      <c r="W5" s="44">
        <v>1.7462866681030813</v>
      </c>
      <c r="X5" s="31">
        <v>45838</v>
      </c>
      <c r="Y5" s="33">
        <v>8</v>
      </c>
      <c r="Z5" s="33" t="s">
        <v>108</v>
      </c>
      <c r="AA5" s="33" t="s">
        <v>108</v>
      </c>
      <c r="AB5" s="47" t="s">
        <v>108</v>
      </c>
      <c r="AC5" s="47" t="s">
        <v>108</v>
      </c>
      <c r="AD5" s="47" t="s">
        <v>108</v>
      </c>
      <c r="AE5" s="47" t="s">
        <v>33</v>
      </c>
    </row>
    <row r="6" spans="1:31" s="8" customFormat="1" ht="21.5" customHeight="1" x14ac:dyDescent="0.35">
      <c r="A6" s="12" t="s">
        <v>27</v>
      </c>
      <c r="B6" s="13" t="s">
        <v>39</v>
      </c>
      <c r="C6" s="32" t="s">
        <v>106</v>
      </c>
      <c r="D6" s="32" t="s">
        <v>106</v>
      </c>
      <c r="E6" s="32" t="s">
        <v>106</v>
      </c>
      <c r="F6" s="32" t="s">
        <v>106</v>
      </c>
      <c r="G6" s="25" t="s">
        <v>106</v>
      </c>
      <c r="H6" s="14">
        <v>0.10463766401934582</v>
      </c>
      <c r="I6" s="14">
        <v>0.15325063500590061</v>
      </c>
      <c r="J6" s="14">
        <v>0.37245392162123797</v>
      </c>
      <c r="K6" s="25">
        <v>0.68278780062031685</v>
      </c>
      <c r="L6" s="14">
        <v>6.4840887509704626E-2</v>
      </c>
      <c r="M6" s="14">
        <v>0.14246239531297716</v>
      </c>
      <c r="N6" s="14">
        <v>0.24090270029389732</v>
      </c>
      <c r="O6" s="44">
        <v>0.45514388107300163</v>
      </c>
      <c r="P6" s="14">
        <v>8.5327417342794254E-2</v>
      </c>
      <c r="Q6" s="14">
        <v>0.12833816361578954</v>
      </c>
      <c r="R6" s="14">
        <v>0.16840847624656549</v>
      </c>
      <c r="S6" s="44">
        <v>0.66486394178306885</v>
      </c>
      <c r="T6" s="14">
        <v>0.13570388602094474</v>
      </c>
      <c r="U6" s="14">
        <v>0.12737709926608065</v>
      </c>
      <c r="V6" s="14">
        <v>0.10130411470654994</v>
      </c>
      <c r="W6" s="44">
        <v>1.0653711444430847</v>
      </c>
      <c r="X6" s="31" t="s">
        <v>106</v>
      </c>
      <c r="Y6" s="33" t="s">
        <v>234</v>
      </c>
      <c r="Z6" s="33" t="s">
        <v>108</v>
      </c>
      <c r="AA6" s="33" t="s">
        <v>108</v>
      </c>
      <c r="AB6" s="47" t="s">
        <v>108</v>
      </c>
      <c r="AC6" s="47" t="s">
        <v>108</v>
      </c>
      <c r="AD6" s="47" t="s">
        <v>108</v>
      </c>
      <c r="AE6" s="47" t="s">
        <v>31</v>
      </c>
    </row>
    <row r="7" spans="1:31" s="8" customFormat="1" ht="21.5" customHeight="1" x14ac:dyDescent="0.35">
      <c r="A7" s="12" t="s">
        <v>245</v>
      </c>
      <c r="B7" s="13" t="s">
        <v>258</v>
      </c>
      <c r="C7" s="32" t="s">
        <v>106</v>
      </c>
      <c r="D7" s="32" t="s">
        <v>106</v>
      </c>
      <c r="E7" s="32" t="s">
        <v>106</v>
      </c>
      <c r="F7" s="32" t="s">
        <v>106</v>
      </c>
      <c r="G7" s="25" t="s">
        <v>106</v>
      </c>
      <c r="H7" s="14">
        <v>0.10465378580763929</v>
      </c>
      <c r="I7" s="14">
        <v>0.22628205675684901</v>
      </c>
      <c r="J7" s="14">
        <v>0.32039238506941564</v>
      </c>
      <c r="K7" s="40">
        <v>0.46249263997142659</v>
      </c>
      <c r="L7" s="14">
        <v>8.5780415118301034E-2</v>
      </c>
      <c r="M7" s="14">
        <v>0.21262196134382658</v>
      </c>
      <c r="N7" s="14">
        <v>0.3028938935614458</v>
      </c>
      <c r="O7" s="44">
        <v>0.40344099253034027</v>
      </c>
      <c r="P7" s="14">
        <v>0.19036647043738486</v>
      </c>
      <c r="Q7" s="14">
        <v>0.20471130291320921</v>
      </c>
      <c r="R7" s="14">
        <v>0.26805120983447978</v>
      </c>
      <c r="S7" s="44">
        <v>0.92992652446794266</v>
      </c>
      <c r="T7" s="14">
        <v>0.65512552039088701</v>
      </c>
      <c r="U7" s="14">
        <v>0.21651790601738211</v>
      </c>
      <c r="V7" s="14">
        <v>9.728027217212766E-2</v>
      </c>
      <c r="W7" s="44">
        <v>3.0257336792195533</v>
      </c>
      <c r="X7" s="31">
        <v>46022</v>
      </c>
      <c r="Y7" s="33">
        <v>8</v>
      </c>
      <c r="Z7" s="33" t="s">
        <v>32</v>
      </c>
      <c r="AA7" s="33" t="s">
        <v>32</v>
      </c>
      <c r="AB7" s="47" t="s">
        <v>32</v>
      </c>
      <c r="AC7" s="47" t="s">
        <v>32</v>
      </c>
      <c r="AD7" s="47" t="s">
        <v>32</v>
      </c>
      <c r="AE7" s="47" t="s">
        <v>247</v>
      </c>
    </row>
    <row r="8" spans="1:31" s="8" customFormat="1" ht="21.5" customHeight="1" x14ac:dyDescent="0.35">
      <c r="A8" s="12" t="s">
        <v>34</v>
      </c>
      <c r="B8" s="13" t="s">
        <v>237</v>
      </c>
      <c r="C8" s="32" t="s">
        <v>106</v>
      </c>
      <c r="D8" s="32" t="s">
        <v>106</v>
      </c>
      <c r="E8" s="32" t="s">
        <v>106</v>
      </c>
      <c r="F8" s="32" t="s">
        <v>106</v>
      </c>
      <c r="G8" s="25" t="s">
        <v>106</v>
      </c>
      <c r="H8" s="14" t="s">
        <v>106</v>
      </c>
      <c r="I8" s="14" t="s">
        <v>106</v>
      </c>
      <c r="J8" s="14" t="s">
        <v>106</v>
      </c>
      <c r="K8" s="25" t="s">
        <v>106</v>
      </c>
      <c r="L8" s="14" t="s">
        <v>106</v>
      </c>
      <c r="M8" s="14" t="s">
        <v>106</v>
      </c>
      <c r="N8" s="14" t="s">
        <v>106</v>
      </c>
      <c r="O8" s="44" t="s">
        <v>106</v>
      </c>
      <c r="P8" s="14" t="s">
        <v>106</v>
      </c>
      <c r="Q8" s="14" t="s">
        <v>106</v>
      </c>
      <c r="R8" s="14" t="s">
        <v>106</v>
      </c>
      <c r="S8" s="44" t="s">
        <v>106</v>
      </c>
      <c r="T8" s="14">
        <v>0.74940372583191017</v>
      </c>
      <c r="U8" s="14">
        <v>0.20389432364787202</v>
      </c>
      <c r="V8" s="14">
        <v>9.0573853303697743E-2</v>
      </c>
      <c r="W8" s="44">
        <v>3.675451638007047</v>
      </c>
      <c r="X8" s="31" t="s">
        <v>106</v>
      </c>
      <c r="Y8" s="33" t="s">
        <v>106</v>
      </c>
      <c r="Z8" s="33" t="s">
        <v>106</v>
      </c>
      <c r="AA8" s="33" t="s">
        <v>106</v>
      </c>
      <c r="AB8" s="47" t="s">
        <v>106</v>
      </c>
      <c r="AC8" s="47" t="s">
        <v>106</v>
      </c>
      <c r="AD8" s="47" t="s">
        <v>106</v>
      </c>
      <c r="AE8" s="47" t="s">
        <v>106</v>
      </c>
    </row>
    <row r="9" spans="1:31" s="8" customFormat="1" ht="21.5" customHeight="1" x14ac:dyDescent="0.35">
      <c r="A9" s="12" t="s">
        <v>131</v>
      </c>
      <c r="B9" s="13" t="s">
        <v>198</v>
      </c>
      <c r="C9" s="32" t="s">
        <v>106</v>
      </c>
      <c r="D9" s="32" t="s">
        <v>106</v>
      </c>
      <c r="E9" s="32" t="s">
        <v>106</v>
      </c>
      <c r="F9" s="32" t="s">
        <v>106</v>
      </c>
      <c r="G9" s="25" t="s">
        <v>106</v>
      </c>
      <c r="H9" s="14">
        <v>0.10904322602646443</v>
      </c>
      <c r="I9" s="14">
        <v>0.31848941307580836</v>
      </c>
      <c r="J9" s="14">
        <v>0.47672282580171094</v>
      </c>
      <c r="K9" s="25">
        <v>0.34237629745171294</v>
      </c>
      <c r="L9" s="14">
        <v>0.2064063497927402</v>
      </c>
      <c r="M9" s="14">
        <v>0.31931115365423968</v>
      </c>
      <c r="N9" s="14">
        <v>0.3599045331732213</v>
      </c>
      <c r="O9" s="44">
        <v>0.64641133712555365</v>
      </c>
      <c r="P9" s="14">
        <v>0.38583215067846743</v>
      </c>
      <c r="Q9" s="14">
        <v>0.33834375337181039</v>
      </c>
      <c r="R9" s="14">
        <v>0.32711104178347794</v>
      </c>
      <c r="S9" s="44">
        <v>1.140355472307099</v>
      </c>
      <c r="T9" s="14">
        <v>0.55128449294858495</v>
      </c>
      <c r="U9" s="14">
        <v>0.42532122607123152</v>
      </c>
      <c r="V9" s="14">
        <v>0.32711104178347794</v>
      </c>
      <c r="W9" s="44">
        <v>1.2961603116799476</v>
      </c>
      <c r="X9" s="31">
        <v>45838</v>
      </c>
      <c r="Y9" s="33">
        <v>8</v>
      </c>
      <c r="Z9" s="33" t="s">
        <v>32</v>
      </c>
      <c r="AA9" s="33" t="s">
        <v>32</v>
      </c>
      <c r="AB9" s="47" t="s">
        <v>32</v>
      </c>
      <c r="AC9" s="47" t="s">
        <v>32</v>
      </c>
      <c r="AD9" s="47" t="s">
        <v>32</v>
      </c>
      <c r="AE9" s="47" t="s">
        <v>31</v>
      </c>
    </row>
    <row r="10" spans="1:31" s="8" customFormat="1" ht="21.5" customHeight="1" x14ac:dyDescent="0.35">
      <c r="A10" s="12" t="s">
        <v>149</v>
      </c>
      <c r="B10" s="13" t="s">
        <v>199</v>
      </c>
      <c r="C10" s="32" t="s">
        <v>106</v>
      </c>
      <c r="D10" s="32" t="s">
        <v>106</v>
      </c>
      <c r="E10" s="32" t="s">
        <v>106</v>
      </c>
      <c r="F10" s="32" t="s">
        <v>106</v>
      </c>
      <c r="G10" s="25" t="s">
        <v>106</v>
      </c>
      <c r="H10" s="14" t="s">
        <v>106</v>
      </c>
      <c r="I10" s="14" t="s">
        <v>106</v>
      </c>
      <c r="J10" s="14" t="s">
        <v>106</v>
      </c>
      <c r="K10" s="25" t="s">
        <v>106</v>
      </c>
      <c r="L10" s="14" t="s">
        <v>106</v>
      </c>
      <c r="M10" s="14" t="s">
        <v>106</v>
      </c>
      <c r="N10" s="14" t="s">
        <v>106</v>
      </c>
      <c r="O10" s="44" t="s">
        <v>106</v>
      </c>
      <c r="P10" s="14">
        <v>0.20151156470519771</v>
      </c>
      <c r="Q10" s="14">
        <v>0.16562960497831333</v>
      </c>
      <c r="R10" s="14">
        <v>0.24791568964618826</v>
      </c>
      <c r="S10" s="44">
        <v>1.2166397712026336</v>
      </c>
      <c r="T10" s="14">
        <v>0.34655645630274923</v>
      </c>
      <c r="U10" s="14">
        <v>0.16109886359048603</v>
      </c>
      <c r="V10" s="14">
        <v>0.10600472115668341</v>
      </c>
      <c r="W10" s="44">
        <v>2.1512036061514199</v>
      </c>
      <c r="X10" s="31" t="s">
        <v>106</v>
      </c>
      <c r="Y10" s="33">
        <v>6</v>
      </c>
      <c r="Z10" s="33" t="s">
        <v>32</v>
      </c>
      <c r="AA10" s="33" t="s">
        <v>32</v>
      </c>
      <c r="AB10" s="47" t="s">
        <v>32</v>
      </c>
      <c r="AC10" s="47" t="s">
        <v>32</v>
      </c>
      <c r="AD10" s="47" t="s">
        <v>32</v>
      </c>
      <c r="AE10" s="47" t="s">
        <v>31</v>
      </c>
    </row>
    <row r="11" spans="1:31" s="8" customFormat="1" ht="21.5" customHeight="1" x14ac:dyDescent="0.35">
      <c r="A11" s="12" t="s">
        <v>48</v>
      </c>
      <c r="B11" s="13" t="s">
        <v>200</v>
      </c>
      <c r="C11" s="32" t="s">
        <v>106</v>
      </c>
      <c r="D11" s="32" t="s">
        <v>106</v>
      </c>
      <c r="E11" s="32" t="s">
        <v>106</v>
      </c>
      <c r="F11" s="32" t="s">
        <v>106</v>
      </c>
      <c r="G11" s="25" t="s">
        <v>106</v>
      </c>
      <c r="H11" s="14" t="s">
        <v>106</v>
      </c>
      <c r="I11" s="14" t="s">
        <v>106</v>
      </c>
      <c r="J11" s="14" t="s">
        <v>106</v>
      </c>
      <c r="K11" s="25" t="s">
        <v>106</v>
      </c>
      <c r="L11" s="14">
        <v>0.14905461041727253</v>
      </c>
      <c r="M11" s="14">
        <v>0.18148541026311357</v>
      </c>
      <c r="N11" s="14">
        <v>0.2578048895674821</v>
      </c>
      <c r="O11" s="44">
        <v>0.82130354280917905</v>
      </c>
      <c r="P11" s="14">
        <v>0.21542792625332363</v>
      </c>
      <c r="Q11" s="14">
        <v>0.16535968798711242</v>
      </c>
      <c r="R11" s="14">
        <v>0.2578048895674821</v>
      </c>
      <c r="S11" s="44">
        <v>1.3027838215932854</v>
      </c>
      <c r="T11" s="14">
        <v>0.28095504311782427</v>
      </c>
      <c r="U11" s="14">
        <v>0.16273105369063234</v>
      </c>
      <c r="V11" s="14">
        <v>9.5908132716996886E-2</v>
      </c>
      <c r="W11" s="44">
        <v>1.7264992559560715</v>
      </c>
      <c r="X11" s="31" t="s">
        <v>106</v>
      </c>
      <c r="Y11" s="33">
        <v>8</v>
      </c>
      <c r="Z11" s="35" t="s">
        <v>108</v>
      </c>
      <c r="AA11" s="33" t="s">
        <v>106</v>
      </c>
      <c r="AB11" s="47" t="s">
        <v>108</v>
      </c>
      <c r="AC11" s="47" t="s">
        <v>108</v>
      </c>
      <c r="AD11" s="47" t="s">
        <v>106</v>
      </c>
      <c r="AE11" s="47" t="s">
        <v>33</v>
      </c>
    </row>
    <row r="12" spans="1:31" s="8" customFormat="1" ht="21.5" customHeight="1" x14ac:dyDescent="0.35">
      <c r="A12" s="12" t="s">
        <v>74</v>
      </c>
      <c r="B12" s="13" t="s">
        <v>201</v>
      </c>
      <c r="C12" s="32" t="s">
        <v>106</v>
      </c>
      <c r="D12" s="32" t="s">
        <v>106</v>
      </c>
      <c r="E12" s="32" t="s">
        <v>106</v>
      </c>
      <c r="F12" s="32" t="s">
        <v>106</v>
      </c>
      <c r="G12" s="25" t="s">
        <v>106</v>
      </c>
      <c r="H12" s="14">
        <v>0.22486923108376056</v>
      </c>
      <c r="I12" s="14">
        <v>0.26168113415712302</v>
      </c>
      <c r="J12" s="14">
        <v>0.4691330259754864</v>
      </c>
      <c r="K12" s="25">
        <v>0.85932534574212283</v>
      </c>
      <c r="L12" s="14">
        <v>0.14200111771790835</v>
      </c>
      <c r="M12" s="14">
        <v>0.2830232712858185</v>
      </c>
      <c r="N12" s="14">
        <v>0.4691330259754864</v>
      </c>
      <c r="O12" s="44">
        <v>0.50172947642352983</v>
      </c>
      <c r="P12" s="14">
        <v>0.29280497722145471</v>
      </c>
      <c r="Q12" s="14">
        <v>0.25703546686718426</v>
      </c>
      <c r="R12" s="14">
        <v>0.32202404032570764</v>
      </c>
      <c r="S12" s="44">
        <v>1.1391617693473925</v>
      </c>
      <c r="T12" s="14">
        <v>0.50201425327781379</v>
      </c>
      <c r="U12" s="14">
        <v>0.24470125977547311</v>
      </c>
      <c r="V12" s="14">
        <v>0.1624519703333035</v>
      </c>
      <c r="W12" s="44">
        <v>2.0515393085366194</v>
      </c>
      <c r="X12" s="31">
        <v>45838</v>
      </c>
      <c r="Y12" s="33">
        <v>8</v>
      </c>
      <c r="Z12" s="33" t="s">
        <v>108</v>
      </c>
      <c r="AA12" s="33" t="s">
        <v>108</v>
      </c>
      <c r="AB12" s="47" t="s">
        <v>108</v>
      </c>
      <c r="AC12" s="47" t="s">
        <v>108</v>
      </c>
      <c r="AD12" s="47" t="s">
        <v>108</v>
      </c>
      <c r="AE12" s="47" t="s">
        <v>207</v>
      </c>
    </row>
    <row r="13" spans="1:31" s="8" customFormat="1" ht="21.5" customHeight="1" x14ac:dyDescent="0.35">
      <c r="A13" s="12" t="s">
        <v>57</v>
      </c>
      <c r="B13" s="13" t="s">
        <v>202</v>
      </c>
      <c r="C13" s="32" t="s">
        <v>106</v>
      </c>
      <c r="D13" s="32" t="s">
        <v>106</v>
      </c>
      <c r="E13" s="32" t="s">
        <v>106</v>
      </c>
      <c r="F13" s="32" t="s">
        <v>106</v>
      </c>
      <c r="G13" s="25" t="s">
        <v>106</v>
      </c>
      <c r="H13" s="14">
        <v>9.9287461724647974E-2</v>
      </c>
      <c r="I13" s="14">
        <v>0.19228139161600244</v>
      </c>
      <c r="J13" s="14">
        <v>0.37229967825953736</v>
      </c>
      <c r="K13" s="25">
        <v>0.51636542096039661</v>
      </c>
      <c r="L13" s="14">
        <v>6.7212054909574714E-2</v>
      </c>
      <c r="M13" s="14">
        <v>0.20203432154888437</v>
      </c>
      <c r="N13" s="14">
        <v>0.37229967825953736</v>
      </c>
      <c r="O13" s="44">
        <v>0.33267642049280244</v>
      </c>
      <c r="P13" s="14">
        <v>0.15962789502349017</v>
      </c>
      <c r="Q13" s="14">
        <v>0.19199652883489093</v>
      </c>
      <c r="R13" s="14">
        <v>0.21039472910171195</v>
      </c>
      <c r="S13" s="44">
        <v>0.83141031763529205</v>
      </c>
      <c r="T13" s="14">
        <v>0.24254162367977705</v>
      </c>
      <c r="U13" s="14">
        <v>0.20939264039238223</v>
      </c>
      <c r="V13" s="14">
        <v>0.11275152482471641</v>
      </c>
      <c r="W13" s="44">
        <v>1.1583101642219933</v>
      </c>
      <c r="X13" s="31" t="s">
        <v>106</v>
      </c>
      <c r="Y13" s="33" t="s">
        <v>106</v>
      </c>
      <c r="Z13" s="33" t="s">
        <v>106</v>
      </c>
      <c r="AA13" s="33" t="s">
        <v>106</v>
      </c>
      <c r="AB13" s="47" t="s">
        <v>106</v>
      </c>
      <c r="AC13" s="47" t="s">
        <v>106</v>
      </c>
      <c r="AD13" s="47" t="s">
        <v>106</v>
      </c>
      <c r="AE13" s="47" t="s">
        <v>106</v>
      </c>
    </row>
    <row r="14" spans="1:31" s="8" customFormat="1" ht="21.5" customHeight="1" x14ac:dyDescent="0.35">
      <c r="A14" s="12" t="s">
        <v>58</v>
      </c>
      <c r="B14" s="13" t="s">
        <v>238</v>
      </c>
      <c r="C14" s="32" t="s">
        <v>106</v>
      </c>
      <c r="D14" s="32" t="s">
        <v>106</v>
      </c>
      <c r="E14" s="32" t="s">
        <v>106</v>
      </c>
      <c r="F14" s="32" t="s">
        <v>106</v>
      </c>
      <c r="G14" s="25" t="s">
        <v>106</v>
      </c>
      <c r="H14" s="14" t="s">
        <v>106</v>
      </c>
      <c r="I14" s="14" t="s">
        <v>106</v>
      </c>
      <c r="J14" s="14" t="s">
        <v>106</v>
      </c>
      <c r="K14" s="24" t="s">
        <v>106</v>
      </c>
      <c r="L14" s="14" t="s">
        <v>106</v>
      </c>
      <c r="M14" s="14" t="s">
        <v>106</v>
      </c>
      <c r="N14" s="14" t="s">
        <v>106</v>
      </c>
      <c r="O14" s="44" t="s">
        <v>106</v>
      </c>
      <c r="P14" s="14" t="s">
        <v>106</v>
      </c>
      <c r="Q14" s="14" t="s">
        <v>106</v>
      </c>
      <c r="R14" s="14" t="s">
        <v>106</v>
      </c>
      <c r="S14" s="44" t="s">
        <v>106</v>
      </c>
      <c r="T14" s="14" t="s">
        <v>106</v>
      </c>
      <c r="U14" s="14" t="s">
        <v>106</v>
      </c>
      <c r="V14" s="14" t="s">
        <v>106</v>
      </c>
      <c r="W14" s="44" t="s">
        <v>106</v>
      </c>
      <c r="X14" s="31">
        <v>46058</v>
      </c>
      <c r="Y14" s="33" t="s">
        <v>208</v>
      </c>
      <c r="Z14" s="33" t="s">
        <v>32</v>
      </c>
      <c r="AA14" s="33" t="s">
        <v>32</v>
      </c>
      <c r="AB14" s="47" t="s">
        <v>32</v>
      </c>
      <c r="AC14" s="47" t="s">
        <v>32</v>
      </c>
      <c r="AD14" s="47" t="s">
        <v>32</v>
      </c>
      <c r="AE14" s="47" t="s">
        <v>33</v>
      </c>
    </row>
    <row r="15" spans="1:31" s="8" customFormat="1" ht="21.5" customHeight="1" x14ac:dyDescent="0.35">
      <c r="A15" s="12" t="s">
        <v>50</v>
      </c>
      <c r="B15" s="13" t="s">
        <v>203</v>
      </c>
      <c r="C15" s="32" t="s">
        <v>106</v>
      </c>
      <c r="D15" s="32" t="s">
        <v>106</v>
      </c>
      <c r="E15" s="32" t="s">
        <v>106</v>
      </c>
      <c r="F15" s="32" t="s">
        <v>106</v>
      </c>
      <c r="G15" s="25" t="s">
        <v>106</v>
      </c>
      <c r="H15" s="14" t="s">
        <v>106</v>
      </c>
      <c r="I15" s="14" t="s">
        <v>106</v>
      </c>
      <c r="J15" s="14" t="s">
        <v>106</v>
      </c>
      <c r="K15" s="24" t="s">
        <v>106</v>
      </c>
      <c r="L15" s="14">
        <v>0.11419973859813171</v>
      </c>
      <c r="M15" s="14">
        <v>0.22022320383193586</v>
      </c>
      <c r="N15" s="14">
        <v>0.28326648233965496</v>
      </c>
      <c r="O15" s="44">
        <v>0.51856360551944225</v>
      </c>
      <c r="P15" s="14">
        <v>0.15042565765535976</v>
      </c>
      <c r="Q15" s="14">
        <v>0.19877137814006943</v>
      </c>
      <c r="R15" s="14">
        <v>0.26598348852836706</v>
      </c>
      <c r="S15" s="44">
        <v>0.7567772536615327</v>
      </c>
      <c r="T15" s="14">
        <v>4.0810618249915276E-2</v>
      </c>
      <c r="U15" s="14">
        <v>0.15718373975845476</v>
      </c>
      <c r="V15" s="14">
        <v>0.15928672570619434</v>
      </c>
      <c r="W15" s="44">
        <v>0.25963638677021689</v>
      </c>
      <c r="X15" s="31">
        <v>45838</v>
      </c>
      <c r="Y15" s="33">
        <v>8</v>
      </c>
      <c r="Z15" s="33" t="s">
        <v>32</v>
      </c>
      <c r="AA15" s="33" t="s">
        <v>32</v>
      </c>
      <c r="AB15" s="47" t="s">
        <v>32</v>
      </c>
      <c r="AC15" s="47" t="s">
        <v>32</v>
      </c>
      <c r="AD15" s="47" t="s">
        <v>32</v>
      </c>
      <c r="AE15" s="47" t="s">
        <v>31</v>
      </c>
    </row>
    <row r="16" spans="1:31" s="8" customFormat="1" ht="21.5" customHeight="1" x14ac:dyDescent="0.35">
      <c r="A16" s="12" t="s">
        <v>59</v>
      </c>
      <c r="B16" s="13" t="s">
        <v>204</v>
      </c>
      <c r="C16" s="32" t="s">
        <v>106</v>
      </c>
      <c r="D16" s="32" t="s">
        <v>106</v>
      </c>
      <c r="E16" s="32" t="s">
        <v>106</v>
      </c>
      <c r="F16" s="32" t="s">
        <v>106</v>
      </c>
      <c r="G16" s="25" t="s">
        <v>106</v>
      </c>
      <c r="H16" s="14">
        <v>0.13834506646317046</v>
      </c>
      <c r="I16" s="14">
        <v>0.20606228581234803</v>
      </c>
      <c r="J16" s="14">
        <v>0.37862885795798396</v>
      </c>
      <c r="K16" s="25">
        <v>0.67137499672868473</v>
      </c>
      <c r="L16" s="14">
        <v>8.93570604969669E-2</v>
      </c>
      <c r="M16" s="14">
        <v>0.23022366610098449</v>
      </c>
      <c r="N16" s="14">
        <v>0.37862885795798396</v>
      </c>
      <c r="O16" s="44">
        <v>0.38813151580068939</v>
      </c>
      <c r="P16" s="14">
        <v>0.24906273718593464</v>
      </c>
      <c r="Q16" s="14">
        <v>0.2262920073551527</v>
      </c>
      <c r="R16" s="14">
        <v>0.264274435898742</v>
      </c>
      <c r="S16" s="44">
        <v>1.1006254268408364</v>
      </c>
      <c r="T16" s="14">
        <v>0.21032943027025675</v>
      </c>
      <c r="U16" s="14">
        <v>0.21348519562345716</v>
      </c>
      <c r="V16" s="14">
        <v>0.21611419859341968</v>
      </c>
      <c r="W16" s="44">
        <v>0.98521787263053817</v>
      </c>
      <c r="X16" s="31" t="s">
        <v>106</v>
      </c>
      <c r="Y16" s="33">
        <v>8</v>
      </c>
      <c r="Z16" s="33" t="s">
        <v>108</v>
      </c>
      <c r="AA16" s="33" t="s">
        <v>108</v>
      </c>
      <c r="AB16" s="47" t="s">
        <v>108</v>
      </c>
      <c r="AC16" s="47" t="s">
        <v>108</v>
      </c>
      <c r="AD16" s="47" t="s">
        <v>108</v>
      </c>
      <c r="AE16" s="47" t="s">
        <v>33</v>
      </c>
    </row>
    <row r="17" spans="1:31" s="8" customFormat="1" ht="21.5" customHeight="1" x14ac:dyDescent="0.35">
      <c r="A17" s="12" t="s">
        <v>42</v>
      </c>
      <c r="B17" s="13" t="s">
        <v>205</v>
      </c>
      <c r="C17" s="32" t="s">
        <v>106</v>
      </c>
      <c r="D17" s="32" t="s">
        <v>106</v>
      </c>
      <c r="E17" s="32" t="s">
        <v>106</v>
      </c>
      <c r="F17" s="32" t="s">
        <v>106</v>
      </c>
      <c r="G17" s="25" t="s">
        <v>106</v>
      </c>
      <c r="H17" s="14" t="s">
        <v>106</v>
      </c>
      <c r="I17" s="14" t="s">
        <v>106</v>
      </c>
      <c r="J17" s="14" t="s">
        <v>106</v>
      </c>
      <c r="K17" s="25" t="s">
        <v>106</v>
      </c>
      <c r="L17" s="14">
        <v>0.12685324044633184</v>
      </c>
      <c r="M17" s="14">
        <v>0.15779259917623714</v>
      </c>
      <c r="N17" s="14">
        <v>0.25089179548156948</v>
      </c>
      <c r="O17" s="44">
        <v>0.80392389192252667</v>
      </c>
      <c r="P17" s="14">
        <v>0.22089145012039313</v>
      </c>
      <c r="Q17" s="14">
        <v>0.15683643721698462</v>
      </c>
      <c r="R17" s="14">
        <v>0.19168744804655016</v>
      </c>
      <c r="S17" s="44">
        <v>1.4084192043637653</v>
      </c>
      <c r="T17" s="14">
        <v>0.45037776787082828</v>
      </c>
      <c r="U17" s="14">
        <v>0.17597409857460183</v>
      </c>
      <c r="V17" s="14">
        <v>8.7603468663776121E-2</v>
      </c>
      <c r="W17" s="44">
        <v>2.5593412412332759</v>
      </c>
      <c r="X17" s="31" t="s">
        <v>106</v>
      </c>
      <c r="Y17" s="33">
        <v>9</v>
      </c>
      <c r="Z17" s="33" t="s">
        <v>108</v>
      </c>
      <c r="AA17" s="33" t="s">
        <v>108</v>
      </c>
      <c r="AB17" s="47" t="s">
        <v>108</v>
      </c>
      <c r="AC17" s="47" t="s">
        <v>108</v>
      </c>
      <c r="AD17" s="47" t="s">
        <v>108</v>
      </c>
      <c r="AE17" s="47" t="s">
        <v>33</v>
      </c>
    </row>
    <row r="18" spans="1:31" s="8" customFormat="1" ht="21.5" customHeight="1" x14ac:dyDescent="0.35">
      <c r="A18" s="12" t="s">
        <v>150</v>
      </c>
      <c r="B18" s="13" t="s">
        <v>206</v>
      </c>
      <c r="C18" s="32" t="s">
        <v>106</v>
      </c>
      <c r="D18" s="32" t="s">
        <v>106</v>
      </c>
      <c r="E18" s="32"/>
      <c r="F18" s="32"/>
      <c r="G18" s="25"/>
      <c r="H18" s="14"/>
      <c r="I18" s="14"/>
      <c r="J18" s="14"/>
      <c r="K18" s="40"/>
      <c r="L18" s="14"/>
      <c r="M18" s="14"/>
      <c r="N18" s="14"/>
      <c r="O18" s="44"/>
      <c r="P18" s="14"/>
      <c r="Q18" s="14"/>
      <c r="R18" s="14"/>
      <c r="S18" s="44"/>
      <c r="T18" s="14">
        <v>0.15504394795806076</v>
      </c>
      <c r="U18" s="14">
        <v>0.14897868014641</v>
      </c>
      <c r="V18" s="14">
        <v>0.11046553267681287</v>
      </c>
      <c r="W18" s="44">
        <v>1.0407123207541513</v>
      </c>
      <c r="X18" s="31" t="s">
        <v>106</v>
      </c>
      <c r="Y18" s="33">
        <v>8</v>
      </c>
      <c r="Z18" s="33" t="s">
        <v>108</v>
      </c>
      <c r="AA18" s="47" t="s">
        <v>32</v>
      </c>
      <c r="AB18" s="47" t="s">
        <v>32</v>
      </c>
      <c r="AC18" s="47" t="s">
        <v>108</v>
      </c>
      <c r="AD18" s="47" t="s">
        <v>32</v>
      </c>
      <c r="AE18" s="47" t="s">
        <v>54</v>
      </c>
    </row>
    <row r="19" spans="1:31" s="8" customFormat="1" ht="21.5" customHeight="1" x14ac:dyDescent="0.35">
      <c r="A19" s="12"/>
      <c r="B19" s="13"/>
      <c r="C19" s="32"/>
      <c r="D19" s="32"/>
      <c r="E19" s="32"/>
      <c r="F19" s="32"/>
      <c r="G19" s="25"/>
      <c r="H19" s="14"/>
      <c r="I19" s="14"/>
      <c r="J19" s="14"/>
      <c r="K19" s="40"/>
      <c r="L19" s="14"/>
      <c r="M19" s="14"/>
      <c r="N19" s="14"/>
      <c r="O19" s="44"/>
      <c r="P19" s="14"/>
      <c r="Q19" s="14"/>
      <c r="R19" s="14"/>
      <c r="S19" s="44"/>
      <c r="T19" s="14"/>
      <c r="U19" s="14"/>
      <c r="V19" s="14"/>
      <c r="W19" s="44"/>
      <c r="X19" s="31"/>
      <c r="Y19" s="31"/>
      <c r="Z19" s="33"/>
      <c r="AA19" s="33"/>
      <c r="AB19" s="33"/>
      <c r="AC19" s="33"/>
      <c r="AD19" s="47"/>
      <c r="AE19" s="47"/>
    </row>
    <row r="20" spans="1:31" s="1" customFormat="1" ht="21.75" customHeight="1" x14ac:dyDescent="0.35">
      <c r="A20" s="36" t="s">
        <v>2</v>
      </c>
      <c r="B20" s="36" t="s">
        <v>3</v>
      </c>
      <c r="C20" s="37" t="e">
        <f>AVERAGE(Table1131417[Performance annualisée depuis 01/08])</f>
        <v>#DIV/0!</v>
      </c>
      <c r="D20" s="37" t="e">
        <f>AVERAGE(Table1131417[Perf. Totale depuis 01/08])</f>
        <v>#DIV/0!</v>
      </c>
      <c r="E20" s="37" t="e">
        <f>AVERAGE(Table1131417[Volatilité annualisée depuis 01/08])</f>
        <v>#DIV/0!</v>
      </c>
      <c r="F20" s="37" t="e">
        <f>AVERAGE(Table1131417[Max Drawdown depuis 01/08])</f>
        <v>#DIV/0!</v>
      </c>
      <c r="G20" s="34" t="e">
        <f>AVERAGE(Table1131417[Couple Rendement / Risque depuis 01/08])</f>
        <v>#DIV/0!</v>
      </c>
      <c r="H20" s="37">
        <f>AVERAGE(Table1131417[Performance annualisée 10 ans])</f>
        <v>0.13013940585417141</v>
      </c>
      <c r="I20" s="37">
        <f>AVERAGE(Table1131417[Volatilité annualisée 10 ans])</f>
        <v>0.22634115273733857</v>
      </c>
      <c r="J20" s="37">
        <f>AVERAGE(Table1131417[Max Drawdown 10 ans])</f>
        <v>0.39827178244756195</v>
      </c>
      <c r="K20" s="42">
        <f>AVERAGE(Table1131417[Couple Rendement Risque 10 ans])</f>
        <v>0.58912041691244343</v>
      </c>
      <c r="L20" s="37">
        <f>AVERAGE(Table1131417[Performance annualisée 5 ans])</f>
        <v>0.11845210726968128</v>
      </c>
      <c r="M20" s="37">
        <f>AVERAGE(Table1131417[Volatilité annualisée 5 ans])</f>
        <v>0.21457768394377949</v>
      </c>
      <c r="N20" s="37">
        <f>AVERAGE(Table1131417[Max Drawdown 5 ans])</f>
        <v>0.31701228415349025</v>
      </c>
      <c r="O20" s="42">
        <f>AVERAGE(Table1131417[Couple Rendement Risque 5 ans])</f>
        <v>0.55774101408192678</v>
      </c>
      <c r="P20" s="37">
        <f>AVERAGE(Table1131417[Performance annualisée 3 ans])</f>
        <v>0.21479405772818227</v>
      </c>
      <c r="Q20" s="37">
        <f>AVERAGE(Table1131417[Volatilité annualisée 3 ans])</f>
        <v>0.2016488665551526</v>
      </c>
      <c r="R20" s="37">
        <f>AVERAGE(Table1131417[Max Drawdown 3 ans])</f>
        <v>0.25255022126399046</v>
      </c>
      <c r="S20" s="42">
        <f>AVERAGE(Table1131417[Couple Rendement Risque 3 ans])</f>
        <v>1.0577331265703718</v>
      </c>
      <c r="T20" s="37">
        <f>AVERAGE(Table1131417[Performance annualisée 1 an])</f>
        <v>0.34025262294117015</v>
      </c>
      <c r="U20" s="37">
        <f>AVERAGE(Table1131417[Volatilité annualisée 1 an])</f>
        <v>0.19814841460505034</v>
      </c>
      <c r="V20" s="37">
        <f>AVERAGE(Table1131417[Max Drawdown 1 an])</f>
        <v>0.13414876143575191</v>
      </c>
      <c r="W20" s="42">
        <f>AVERAGE(Table1131417[Couple Rendement Risque 1 an])</f>
        <v>1.694096770421357</v>
      </c>
      <c r="X20" s="38"/>
      <c r="Y20" s="37"/>
      <c r="Z20" s="37"/>
      <c r="AA20" s="37"/>
      <c r="AB20" s="37"/>
      <c r="AC20" s="37"/>
      <c r="AD20" s="37"/>
      <c r="AE20" s="37"/>
    </row>
    <row r="21" spans="1:31" ht="21.75" customHeight="1" x14ac:dyDescent="0.35">
      <c r="A21" s="7"/>
      <c r="AD21" s="1"/>
      <c r="AE21" s="1"/>
    </row>
    <row r="22" spans="1:31" ht="21.75" customHeight="1" x14ac:dyDescent="0.35">
      <c r="E22" s="2"/>
      <c r="F22" s="2"/>
    </row>
    <row r="23" spans="1:31" ht="21.75" customHeight="1" x14ac:dyDescent="0.35">
      <c r="C23" s="2" t="s">
        <v>239</v>
      </c>
      <c r="E23" s="2"/>
      <c r="F23" s="2"/>
    </row>
    <row r="24" spans="1:31" x14ac:dyDescent="0.35">
      <c r="E24" s="2"/>
      <c r="F24" s="2"/>
    </row>
    <row r="25" spans="1:31" x14ac:dyDescent="0.35">
      <c r="E25" s="2"/>
      <c r="F25" s="2"/>
      <c r="AB25" s="6"/>
    </row>
    <row r="26" spans="1:31" x14ac:dyDescent="0.35">
      <c r="E26" s="2"/>
      <c r="F26" s="2"/>
    </row>
    <row r="27" spans="1:31" x14ac:dyDescent="0.35">
      <c r="E27" s="2"/>
      <c r="F27" s="2"/>
    </row>
    <row r="28" spans="1:31" x14ac:dyDescent="0.35">
      <c r="E28" s="2"/>
      <c r="F28" s="2"/>
    </row>
    <row r="29" spans="1:31" x14ac:dyDescent="0.35">
      <c r="E29" s="2"/>
      <c r="F29" s="2"/>
    </row>
    <row r="30" spans="1:31" x14ac:dyDescent="0.35">
      <c r="E30" s="2"/>
      <c r="F30" s="2"/>
    </row>
    <row r="31" spans="1:31" x14ac:dyDescent="0.35">
      <c r="E31" s="2"/>
      <c r="F31" s="2"/>
    </row>
    <row r="32" spans="1:31" x14ac:dyDescent="0.35">
      <c r="E32" s="2"/>
      <c r="F32" s="2"/>
    </row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  <row r="44" s="2" customFormat="1" x14ac:dyDescent="0.35"/>
    <row r="45" s="2" customFormat="1" x14ac:dyDescent="0.35"/>
    <row r="46" s="2" customFormat="1" x14ac:dyDescent="0.35"/>
    <row r="47" s="2" customFormat="1" x14ac:dyDescent="0.35"/>
    <row r="48" s="2" customFormat="1" x14ac:dyDescent="0.35"/>
  </sheetData>
  <sheetProtection selectLockedCells="1"/>
  <phoneticPr fontId="22" type="noConversion"/>
  <conditionalFormatting sqref="C4:C19">
    <cfRule type="iconSet" priority="473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D4:D19">
    <cfRule type="iconSet" priority="474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4:E19">
    <cfRule type="iconSet" priority="474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4:F19">
    <cfRule type="iconSet" priority="474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4:G19">
    <cfRule type="iconSet" priority="474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G28:X28">
    <cfRule type="iconSet" priority="2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4:H19">
    <cfRule type="iconSet" priority="474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I4:I19">
    <cfRule type="iconSet" priority="475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J4:J19">
    <cfRule type="iconSet" priority="475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4:K17">
    <cfRule type="iconSet" priority="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K18:K19">
    <cfRule type="iconSet" priority="475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L4:L19">
    <cfRule type="iconSet" priority="4757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M4:M19">
    <cfRule type="iconSet" priority="475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N4:N19">
    <cfRule type="iconSet" priority="476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4:O19">
    <cfRule type="iconSet" priority="476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4:P19">
    <cfRule type="iconSet" priority="4765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4:Q19">
    <cfRule type="iconSet" priority="476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4:R19">
    <cfRule type="iconSet" priority="4769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S4:S19">
    <cfRule type="iconSet" priority="4771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4:T19">
    <cfRule type="iconSet" priority="4773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U4:U19">
    <cfRule type="iconSet" priority="4775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V4:V19">
    <cfRule type="iconSet" priority="477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W4:W19">
    <cfRule type="iconSet" priority="4779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4803149606299213" right="0.74803149606299213" top="0.98425196850393704" bottom="0.98425196850393704" header="0.51181102362204722" footer="0.51181102362204722"/>
  <pageSetup paperSize="9" scale="29" orientation="landscape" horizontalDpi="4294967292" verticalDpi="4294967292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Monétaire</vt:lpstr>
      <vt:lpstr>Obligataire</vt:lpstr>
      <vt:lpstr>Obli Flex Int</vt:lpstr>
      <vt:lpstr>Diversifié Prudent</vt:lpstr>
      <vt:lpstr>Diversifié Equilibre 50-50</vt:lpstr>
      <vt:lpstr>Diversifié Flexible</vt:lpstr>
      <vt:lpstr>Actions Europe</vt:lpstr>
      <vt:lpstr>Actions Monde</vt:lpstr>
      <vt:lpstr>Actions PEA PME</vt:lpstr>
      <vt:lpstr>Horizon</vt:lpstr>
      <vt:lpstr>Fonds thématique environnement</vt:lpstr>
      <vt:lpstr>Fonds thématique social</vt:lpstr>
      <vt:lpstr>Fonds thématique "Autre"</vt:lpstr>
      <vt:lpstr>'Actions Europe'!Zone_d_impression</vt:lpstr>
      <vt:lpstr>'Actions Monde'!Zone_d_impression</vt:lpstr>
      <vt:lpstr>'Actions PEA PME'!Zone_d_impression</vt:lpstr>
      <vt:lpstr>'Diversifié Equilibre 50-50'!Zone_d_impression</vt:lpstr>
      <vt:lpstr>'Diversifié Flexible'!Zone_d_impression</vt:lpstr>
      <vt:lpstr>'Diversifié Prudent'!Zone_d_impression</vt:lpstr>
      <vt:lpstr>'Fonds thématique "Autre"'!Zone_d_impression</vt:lpstr>
      <vt:lpstr>'Fonds thématique environnement'!Zone_d_impression</vt:lpstr>
      <vt:lpstr>'Fonds thématique social'!Zone_d_impression</vt:lpstr>
      <vt:lpstr>Horizon!Zone_d_impression</vt:lpstr>
      <vt:lpstr>Monétaire!Zone_d_impression</vt:lpstr>
      <vt:lpstr>'Obli Flex Int'!Zone_d_impression</vt:lpstr>
      <vt:lpstr>Obligataire!Zone_d_impression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 Clerbois</dc:creator>
  <cp:lastModifiedBy>Emmanuel Codet</cp:lastModifiedBy>
  <cp:lastPrinted>2026-09-02T07:23:50Z</cp:lastPrinted>
  <dcterms:created xsi:type="dcterms:W3CDTF">2013-12-23T18:18:13Z</dcterms:created>
  <dcterms:modified xsi:type="dcterms:W3CDTF">2026-10-06T10:07:25Z</dcterms:modified>
</cp:coreProperties>
</file>