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Missions GALEA\M3788 - Observatoire EPS Galea\2025.12.31 - Observatoire EPS\3 - Travaux\"/>
    </mc:Choice>
  </mc:AlternateContent>
  <xr:revisionPtr revIDLastSave="0" documentId="13_ncr:1_{B1979607-243B-449C-B7CA-431B18B68B34}" xr6:coauthVersionLast="47" xr6:coauthVersionMax="47" xr10:uidLastSave="{00000000-0000-0000-0000-000000000000}"/>
  <bookViews>
    <workbookView xWindow="-110" yWindow="-110" windowWidth="19420" windowHeight="11500" tabRatio="747" firstSheet="4" activeTab="9" xr2:uid="{00000000-000D-0000-FFFF-FFFF00000000}"/>
  </bookViews>
  <sheets>
    <sheet name="Monétaire" sheetId="1" r:id="rId1"/>
    <sheet name="Obligataire" sheetId="2" r:id="rId2"/>
    <sheet name="Obli Flex Int" sheetId="20" r:id="rId3"/>
    <sheet name="Diversifié Prudent" sheetId="25" r:id="rId4"/>
    <sheet name="Diversifié Equilibre 50-50" sheetId="4" r:id="rId5"/>
    <sheet name="Diversifié Flexible" sheetId="26" r:id="rId6"/>
    <sheet name="Actions Europe" sheetId="5" r:id="rId7"/>
    <sheet name="Actions Monde" sheetId="6" r:id="rId8"/>
    <sheet name="Actions PEA PME" sheetId="14" r:id="rId9"/>
    <sheet name="Horizon" sheetId="16" r:id="rId10"/>
    <sheet name="Fonds thématique environnement" sheetId="22" r:id="rId11"/>
    <sheet name="Fonds thématique social" sheetId="23" r:id="rId12"/>
    <sheet name="Fonds thématique &quot;Autre&quot;" sheetId="27" r:id="rId13"/>
  </sheets>
  <definedNames>
    <definedName name="_xlnm._FilterDatabase" localSheetId="6" hidden="1">'Actions Europe'!$A$3:$AC$3</definedName>
    <definedName name="_xlnm._FilterDatabase" localSheetId="7" hidden="1">'Actions Monde'!$A$3:$AC$3</definedName>
    <definedName name="_xlnm._FilterDatabase" localSheetId="8" hidden="1">'Actions PEA PME'!$A$3:$AC$3</definedName>
    <definedName name="_xlnm._FilterDatabase" localSheetId="4" hidden="1">'Diversifié Equilibre 50-50'!$A$3:$AC$3</definedName>
    <definedName name="_xlnm._FilterDatabase" localSheetId="5" hidden="1">'Diversifié Flexible'!$A$3:$AC$3</definedName>
    <definedName name="_xlnm._FilterDatabase" localSheetId="3" hidden="1">'Diversifié Prudent'!$A$3:$AC$3</definedName>
    <definedName name="_xlnm._FilterDatabase" localSheetId="12" hidden="1">'Fonds thématique "Autre"'!$A$3:$AC$3</definedName>
    <definedName name="_xlnm._FilterDatabase" localSheetId="10" hidden="1">'Fonds thématique environnement'!$A$3:$AC$3</definedName>
    <definedName name="_xlnm._FilterDatabase" localSheetId="11" hidden="1">'Fonds thématique social'!$A$3:$AC$3</definedName>
    <definedName name="_xlnm._FilterDatabase" localSheetId="9" hidden="1">Horizon!$A$3:$AC$3</definedName>
    <definedName name="_xlnm._FilterDatabase" localSheetId="0" hidden="1">Monétaire!$A$3:$AD$3</definedName>
    <definedName name="_xlnm._FilterDatabase" localSheetId="2" hidden="1">'Obli Flex Int'!$A$3:$AD$3</definedName>
    <definedName name="_xlnm._FilterDatabase" localSheetId="1" hidden="1">Obligataire!$A$3:$AC$3</definedName>
    <definedName name="_xlnm.Print_Area" localSheetId="6">'Actions Europe'!$A$1:$AC$26</definedName>
    <definedName name="_xlnm.Print_Area" localSheetId="7">'Actions Monde'!$A$1:$AC$24</definedName>
    <definedName name="_xlnm.Print_Area" localSheetId="8">'Actions PEA PME'!$A$1:$AC$16</definedName>
    <definedName name="_xlnm.Print_Area" localSheetId="4">'Diversifié Equilibre 50-50'!$A$1:$AC$17</definedName>
    <definedName name="_xlnm.Print_Area" localSheetId="5">'Diversifié Flexible'!$A$1:$AC$21</definedName>
    <definedName name="_xlnm.Print_Area" localSheetId="3">'Diversifié Prudent'!$A$1:$AC$15</definedName>
    <definedName name="_xlnm.Print_Area" localSheetId="12">'Fonds thématique "Autre"'!$A$1:$AC$20</definedName>
    <definedName name="_xlnm.Print_Area" localSheetId="10">'Fonds thématique environnement'!$A$1:$AC$20</definedName>
    <definedName name="_xlnm.Print_Area" localSheetId="11">'Fonds thématique social'!$A$1:$AC$14</definedName>
    <definedName name="_xlnm.Print_Area" localSheetId="9">Horizon!$A$1:$AC$11</definedName>
    <definedName name="_xlnm.Print_Area" localSheetId="0">Monétaire!$A$1:$AD$15</definedName>
    <definedName name="_xlnm.Print_Area" localSheetId="2">'Obli Flex Int'!$A$1:$AD$19</definedName>
    <definedName name="_xlnm.Print_Area" localSheetId="1">Obligataire!$A$2:$AC$24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5" l="1"/>
  <c r="D19" i="20"/>
  <c r="C24" i="2"/>
  <c r="F15" i="1"/>
  <c r="E15" i="1"/>
  <c r="C15" i="1"/>
  <c r="D15" i="1"/>
  <c r="G20" i="27" l="1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W20" i="27"/>
  <c r="V20" i="27"/>
  <c r="I14" i="23" l="1"/>
  <c r="H14" i="23"/>
  <c r="E14" i="23"/>
  <c r="F14" i="23"/>
  <c r="G14" i="23"/>
  <c r="D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D11" i="16"/>
  <c r="W16" i="14"/>
  <c r="V16" i="14"/>
  <c r="U16" i="14"/>
  <c r="T16" i="14"/>
  <c r="S16" i="14"/>
  <c r="R16" i="14"/>
  <c r="Q16" i="14"/>
  <c r="P16" i="14"/>
  <c r="O16" i="14"/>
  <c r="N16" i="14"/>
  <c r="M16" i="14"/>
  <c r="L16" i="14"/>
  <c r="T24" i="6" l="1"/>
  <c r="S24" i="6"/>
  <c r="R24" i="6"/>
  <c r="Q24" i="6"/>
  <c r="P24" i="6"/>
  <c r="O24" i="6"/>
  <c r="N24" i="6"/>
  <c r="M24" i="6"/>
  <c r="L24" i="6"/>
  <c r="T26" i="5"/>
  <c r="W26" i="5"/>
  <c r="V26" i="5"/>
  <c r="U26" i="5"/>
  <c r="D26" i="5"/>
  <c r="E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1" i="26"/>
  <c r="S21" i="26"/>
  <c r="R21" i="26"/>
  <c r="Q21" i="26"/>
  <c r="P21" i="26"/>
  <c r="O21" i="26"/>
  <c r="N21" i="26"/>
  <c r="M21" i="26"/>
  <c r="L21" i="26"/>
  <c r="K21" i="26"/>
  <c r="J21" i="26"/>
  <c r="H21" i="26"/>
  <c r="L17" i="4"/>
  <c r="H17" i="4"/>
  <c r="M15" i="25"/>
  <c r="N15" i="25"/>
  <c r="O15" i="25"/>
  <c r="P15" i="25"/>
  <c r="H15" i="25"/>
  <c r="Q15" i="25"/>
  <c r="S15" i="25"/>
  <c r="W15" i="25"/>
  <c r="V15" i="25"/>
  <c r="U15" i="25"/>
  <c r="T15" i="25"/>
  <c r="U19" i="20"/>
  <c r="C11" i="16" l="1"/>
  <c r="I15" i="25"/>
  <c r="C20" i="27" l="1"/>
  <c r="J16" i="14"/>
  <c r="I16" i="14"/>
  <c r="H16" i="14"/>
  <c r="C14" i="23"/>
  <c r="G11" i="16"/>
  <c r="F11" i="16"/>
  <c r="E11" i="16"/>
  <c r="F16" i="14"/>
  <c r="H24" i="6"/>
  <c r="D24" i="6"/>
  <c r="V24" i="6"/>
  <c r="I21" i="26"/>
  <c r="G21" i="26"/>
  <c r="F21" i="26"/>
  <c r="E21" i="26"/>
  <c r="C21" i="26"/>
  <c r="R17" i="4"/>
  <c r="F20" i="27"/>
  <c r="E20" i="27"/>
  <c r="D20" i="27"/>
  <c r="W21" i="26"/>
  <c r="V21" i="26"/>
  <c r="U21" i="26"/>
  <c r="D21" i="26"/>
  <c r="R15" i="25"/>
  <c r="L15" i="25"/>
  <c r="K15" i="25"/>
  <c r="J15" i="25"/>
  <c r="G15" i="25"/>
  <c r="F15" i="25"/>
  <c r="E15" i="25"/>
  <c r="D15" i="25"/>
  <c r="C15" i="25"/>
  <c r="C26" i="5"/>
  <c r="W24" i="2"/>
  <c r="D20" i="22"/>
  <c r="C20" i="22"/>
  <c r="E16" i="14"/>
  <c r="C16" i="14"/>
  <c r="C24" i="6"/>
  <c r="W24" i="6"/>
  <c r="F24" i="6"/>
  <c r="E24" i="6"/>
  <c r="W17" i="4"/>
  <c r="C19" i="20"/>
  <c r="W19" i="20"/>
  <c r="D24" i="2"/>
  <c r="L19" i="20"/>
  <c r="M24" i="2"/>
  <c r="K24" i="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E19" i="20"/>
  <c r="F19" i="20"/>
  <c r="G19" i="20"/>
  <c r="H19" i="20"/>
  <c r="I19" i="20"/>
  <c r="J19" i="20"/>
  <c r="K19" i="20"/>
  <c r="M19" i="20"/>
  <c r="N19" i="20"/>
  <c r="O19" i="20"/>
  <c r="P19" i="20"/>
  <c r="Q19" i="20"/>
  <c r="R19" i="20"/>
  <c r="S19" i="20"/>
  <c r="T19" i="20"/>
  <c r="V19" i="20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D16" i="14"/>
  <c r="G16" i="14"/>
  <c r="K16" i="14"/>
  <c r="G24" i="6"/>
  <c r="I24" i="6"/>
  <c r="J24" i="6"/>
  <c r="K24" i="6"/>
  <c r="U24" i="6"/>
  <c r="D17" i="4"/>
  <c r="E17" i="4"/>
  <c r="F17" i="4"/>
  <c r="G17" i="4"/>
  <c r="I17" i="4"/>
  <c r="J17" i="4"/>
  <c r="K17" i="4"/>
  <c r="M17" i="4"/>
  <c r="N17" i="4"/>
  <c r="O17" i="4"/>
  <c r="P17" i="4"/>
  <c r="Q17" i="4"/>
  <c r="S17" i="4"/>
  <c r="T17" i="4"/>
  <c r="U17" i="4"/>
  <c r="V17" i="4"/>
  <c r="C17" i="4"/>
  <c r="E24" i="2"/>
  <c r="F24" i="2"/>
  <c r="G24" i="2"/>
  <c r="H24" i="2"/>
  <c r="I24" i="2"/>
  <c r="J24" i="2"/>
  <c r="L24" i="2"/>
  <c r="N24" i="2"/>
  <c r="O24" i="2"/>
  <c r="P24" i="2"/>
  <c r="Q24" i="2"/>
  <c r="R24" i="2"/>
  <c r="S24" i="2"/>
  <c r="T24" i="2"/>
  <c r="U24" i="2"/>
  <c r="V24" i="2"/>
  <c r="W15" i="1"/>
  <c r="U15" i="1"/>
  <c r="V15" i="1"/>
  <c r="T15" i="1"/>
  <c r="S15" i="1"/>
  <c r="Q15" i="1"/>
  <c r="R15" i="1"/>
  <c r="P15" i="1"/>
  <c r="O15" i="1"/>
  <c r="M15" i="1"/>
  <c r="N15" i="1"/>
  <c r="L15" i="1"/>
  <c r="K15" i="1"/>
  <c r="I15" i="1"/>
  <c r="J15" i="1"/>
  <c r="H15" i="1"/>
  <c r="G15" i="1"/>
</calcChain>
</file>

<file path=xl/sharedStrings.xml><?xml version="1.0" encoding="utf-8"?>
<sst xmlns="http://schemas.openxmlformats.org/spreadsheetml/2006/main" count="2550" uniqueCount="271">
  <si>
    <t>Société</t>
  </si>
  <si>
    <t>Nom du fonds</t>
  </si>
  <si>
    <t>Observatoire</t>
  </si>
  <si>
    <t>Moyenne</t>
  </si>
  <si>
    <t>Volatilité annualisée depuis 01/08</t>
  </si>
  <si>
    <t>Max Drawdown depuis 01/08</t>
  </si>
  <si>
    <t>Date de recommandation du fonds</t>
  </si>
  <si>
    <t>Performance annualisée 5 ans</t>
  </si>
  <si>
    <t>Performance annualisée 3 ans</t>
  </si>
  <si>
    <t>Type</t>
  </si>
  <si>
    <t>Couple Rendement Risque 5 ans</t>
  </si>
  <si>
    <t>Couple Rendement Risque 1 an</t>
  </si>
  <si>
    <t>Couple Rendement / Risque depuis 01/08</t>
  </si>
  <si>
    <t>Colonne1</t>
  </si>
  <si>
    <t>Performance annualisée 1 an</t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</si>
  <si>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</si>
  <si>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t>MONETAIRE EUR</t>
  </si>
  <si>
    <t>OBLIGATAIRE EUR</t>
  </si>
  <si>
    <t>ACTIONS EUROPE</t>
  </si>
  <si>
    <t>ACTIONS MONDE</t>
  </si>
  <si>
    <t>FONDS HORIZON</t>
  </si>
  <si>
    <t xml:space="preserve"> </t>
  </si>
  <si>
    <t>OBLIGATAIRE FLEX INTER</t>
  </si>
  <si>
    <t>Performance annualisée 10 ans</t>
  </si>
  <si>
    <t>Couple Rendement Risque 10 ans</t>
  </si>
  <si>
    <t>Fonds thématique environnement</t>
  </si>
  <si>
    <t>Fonds thématique social</t>
  </si>
  <si>
    <t>BNPP ERE</t>
  </si>
  <si>
    <t>Multipar Monétaire Sélection</t>
  </si>
  <si>
    <t>FCP</t>
  </si>
  <si>
    <t>oui</t>
  </si>
  <si>
    <t>FCPE</t>
  </si>
  <si>
    <t>non</t>
  </si>
  <si>
    <t>SICAV</t>
  </si>
  <si>
    <t>Carmignac</t>
  </si>
  <si>
    <t>DNCA</t>
  </si>
  <si>
    <t>Multipar Oblig Euro</t>
  </si>
  <si>
    <t>FCP/SICAV</t>
  </si>
  <si>
    <t>DNCA Invest Value Europe</t>
  </si>
  <si>
    <t>BNP PARIBAS Aqua</t>
  </si>
  <si>
    <t>BNP PARIBAS Inclusive growth</t>
  </si>
  <si>
    <t>DNCA Invest Credit Conviction</t>
  </si>
  <si>
    <t>Robeco</t>
  </si>
  <si>
    <t>Euro Credit Bonds I</t>
  </si>
  <si>
    <t>Sustainable European Stars Equities</t>
  </si>
  <si>
    <t>BP Global Premium Equities</t>
  </si>
  <si>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GALEA EPS</t>
    </r>
    <r>
      <rPr>
        <sz val="16"/>
        <color indexed="8"/>
        <rFont val="Calibri"/>
        <family val="2"/>
      </rPr>
      <t xml:space="preserve"> de l'Epargne d'Entreprise</t>
    </r>
  </si>
  <si>
    <t>Allianz GI</t>
  </si>
  <si>
    <t>Fidelity</t>
  </si>
  <si>
    <t>Groupama AM</t>
  </si>
  <si>
    <t>Natixis</t>
  </si>
  <si>
    <t>Securicash SRI</t>
  </si>
  <si>
    <t>CM-AM Perspective Monétaire B</t>
  </si>
  <si>
    <t xml:space="preserve">Groupama Epargne &amp; Retraite Monétaire </t>
  </si>
  <si>
    <t>FIVG</t>
  </si>
  <si>
    <t>Aberdeen Standard Investments</t>
  </si>
  <si>
    <t>ECOFI</t>
  </si>
  <si>
    <t>La Financière de l'Echiquier</t>
  </si>
  <si>
    <t>Lazard Frères Gestion</t>
  </si>
  <si>
    <t>Pictet AM</t>
  </si>
  <si>
    <t>Vanguard</t>
  </si>
  <si>
    <t>Euro Corporate Bond Fund</t>
  </si>
  <si>
    <t>CM-AM Perspective Obli MT A</t>
  </si>
  <si>
    <t>Euro Bond Fund</t>
  </si>
  <si>
    <t>Echiquier Credit SRI Europe</t>
  </si>
  <si>
    <t>Lazard Euro Short Duration SRI</t>
  </si>
  <si>
    <t>Avenir Obligataire</t>
  </si>
  <si>
    <t>EUR Bonds</t>
  </si>
  <si>
    <t>EUR Government Bond Index</t>
  </si>
  <si>
    <t>Amundi</t>
  </si>
  <si>
    <t>HSBC EE</t>
  </si>
  <si>
    <t>Strategy 50</t>
  </si>
  <si>
    <t>Amundi Label Equilibre ESR</t>
  </si>
  <si>
    <t>European Multi Asset Income fund</t>
  </si>
  <si>
    <t>Groupama Equilibre</t>
  </si>
  <si>
    <t>Franklin Templeton</t>
  </si>
  <si>
    <t>COMGEST</t>
  </si>
  <si>
    <t>European Sustainable Equity Fund</t>
  </si>
  <si>
    <t>Europe Equity Growth</t>
  </si>
  <si>
    <t>Comgest Renaissance Europe</t>
  </si>
  <si>
    <t>Sustainable Eurozone Equity</t>
  </si>
  <si>
    <t>Echiquier Major SRI Growth Europe</t>
  </si>
  <si>
    <t>Lazard Equity SRI</t>
  </si>
  <si>
    <t>Pictet-Quest Europe Sustainable Equities</t>
  </si>
  <si>
    <t>European Stock Index</t>
  </si>
  <si>
    <t>Best Style Global</t>
  </si>
  <si>
    <t>Comgest Monde</t>
  </si>
  <si>
    <t>ECOFI Enjeux futurs</t>
  </si>
  <si>
    <t>Avenir Actions Monde</t>
  </si>
  <si>
    <t>Global Stock Index</t>
  </si>
  <si>
    <t>Actions Euro PME ETI</t>
  </si>
  <si>
    <t>Lazard Investissement PEA-PME</t>
  </si>
  <si>
    <t>SÉLECTION DNCA ACTIONS EURO PME - I</t>
  </si>
  <si>
    <t>Target Fund 2035</t>
  </si>
  <si>
    <t>Lazard Horizon 2037-2039</t>
  </si>
  <si>
    <t>Avenir Retraite 2035-2039</t>
  </si>
  <si>
    <t>Pictet - Absolute Return Fixed Income - HI</t>
  </si>
  <si>
    <t>Global Bond Index Fund</t>
  </si>
  <si>
    <t>CM-AM Global Climate Change</t>
  </si>
  <si>
    <t>ECOFI Agir pour le climat</t>
  </si>
  <si>
    <t>FF Sustainable Water &amp; Waste</t>
  </si>
  <si>
    <t>Templeton Global Climate Change Fund</t>
  </si>
  <si>
    <t>Lazard Global Green Bond Opportunities</t>
  </si>
  <si>
    <t>SÉLECTION MIROVA ACTIONS INTERNATIONALES - I (C) EUR</t>
  </si>
  <si>
    <t>Pictet-Clean Energy Transition-I EUR</t>
  </si>
  <si>
    <t>FIGV</t>
  </si>
  <si>
    <t>Carmignac Portfolio Human Xperience</t>
  </si>
  <si>
    <t xml:space="preserve">Fidelity Funds - Sustainable Demographics Fund </t>
  </si>
  <si>
    <t>Lazard Human Capital</t>
  </si>
  <si>
    <t>IMPACT ACTIONS EMPLOI SOLIDAIRE - I (C) EUR</t>
  </si>
  <si>
    <t>Natixis ES Monétaire</t>
  </si>
  <si>
    <t>Lazard Credit Opportunities</t>
  </si>
  <si>
    <t/>
  </si>
  <si>
    <t>Oui</t>
  </si>
  <si>
    <t>Non</t>
  </si>
  <si>
    <t>Euro Cash</t>
  </si>
  <si>
    <t>HSBC EE Horizon 2034-2036 (F)</t>
  </si>
  <si>
    <t>HSBC RIF Europe Equity Green Transition (IC)</t>
  </si>
  <si>
    <t>HSBC Euro PME (IC)</t>
  </si>
  <si>
    <t>GROUPAMA GLOBAL ACTIVE EQUITY (ex-G Fund - World Vision R)</t>
  </si>
  <si>
    <t>HSBC RIF SRI Global Equity (IC)</t>
  </si>
  <si>
    <t>GROUPAMA EURO ACTIVE EQUITY (ex-G Fund Equity Conviction ISR)</t>
  </si>
  <si>
    <t xml:space="preserve">HSBC GIF Euroland Value (IC) </t>
  </si>
  <si>
    <t>HSBC EE Equilibre (F)</t>
  </si>
  <si>
    <t>HSBC GIF Euro Bond Total Return (IC)</t>
  </si>
  <si>
    <t>HSBC GIF Euro Bond (IC)</t>
  </si>
  <si>
    <t xml:space="preserve">Non </t>
  </si>
  <si>
    <t>Perf. Totale depuis 01/08</t>
  </si>
  <si>
    <t>Volatilité annualisée 10 ans</t>
  </si>
  <si>
    <t>Max Drawdown 10 ans</t>
  </si>
  <si>
    <t>Volatilité annualisée 5 ans</t>
  </si>
  <si>
    <t>Max Drawdown 5 ans</t>
  </si>
  <si>
    <t>Volatilité annualisée 3 ans</t>
  </si>
  <si>
    <t>Max Drawdown 3 ans</t>
  </si>
  <si>
    <t>Couple Rendement Risque 3 ans</t>
  </si>
  <si>
    <t>Volatilité annualisée 1 an</t>
  </si>
  <si>
    <t>Max Drawdown 1 an</t>
  </si>
  <si>
    <t>Performance annualisée depuis 01/08</t>
  </si>
  <si>
    <t>Crédit Mutuel Asset Management</t>
  </si>
  <si>
    <t>OPCVM</t>
  </si>
  <si>
    <t>Article SFDR (6,8 ou 9)</t>
  </si>
  <si>
    <t>label ISR (oui/non)</t>
  </si>
  <si>
    <t>label Finansol (oui/non)</t>
  </si>
  <si>
    <t>label Greenfin (oui/non)</t>
  </si>
  <si>
    <t>label CIES (oui/non)</t>
  </si>
  <si>
    <t>label France Relance (oui/non)</t>
  </si>
  <si>
    <t>Strategic Bond</t>
  </si>
  <si>
    <t>CM-AM Avenir Équilibre</t>
  </si>
  <si>
    <t>Social Active Actions</t>
  </si>
  <si>
    <t>CM-AM Perspective Conviction Monde</t>
  </si>
  <si>
    <t>SIENNA ACTIONS PME-ETI - FS-C</t>
  </si>
  <si>
    <t>SIENNA ACTIONS EMPLOI RETRAITE SOLIDAIRE - I-C</t>
  </si>
  <si>
    <t>DIVERSIFIE PRUDENT</t>
  </si>
  <si>
    <t>DIVERSIFIE FLEXIBLE</t>
  </si>
  <si>
    <t>DIVERSIFIE EQUILIBRE 50/50</t>
  </si>
  <si>
    <t>ACTIONS PEA PME</t>
  </si>
  <si>
    <t>ERES GESTION</t>
  </si>
  <si>
    <t>Sienna IM</t>
  </si>
  <si>
    <t xml:space="preserve">Carmignac Pf Sécurité FW EUR Acc </t>
  </si>
  <si>
    <t>Carmignac Pf Flexible Bond F EUR Acc</t>
  </si>
  <si>
    <t>DNCA Invest Alpha Bonds</t>
  </si>
  <si>
    <t>Franklin European Total Return</t>
  </si>
  <si>
    <t xml:space="preserve"> Strategy 15</t>
  </si>
  <si>
    <t>Carmignac Pf Patrimoine F EUR Acc</t>
  </si>
  <si>
    <t>CM-AM Avenir Tempéré</t>
  </si>
  <si>
    <t>DNCA Invest Eurose</t>
  </si>
  <si>
    <t>ERES SELECTION MODERE - H</t>
  </si>
  <si>
    <t>Echiquier Arty SRI</t>
  </si>
  <si>
    <t>Avenir Rendement</t>
  </si>
  <si>
    <t>SIENNA PERFORMANCE ABSOLUE DEFENSIF FS-C</t>
  </si>
  <si>
    <t>ERES SELECTION MOYEN TERME - H</t>
  </si>
  <si>
    <t>Avenir Equilibre</t>
  </si>
  <si>
    <t>Robeco Sustainable Diversified Allocation</t>
  </si>
  <si>
    <t>MH EPARGNE DIVERSIFIE EQUILIBRE SOLIDAIRE A</t>
  </si>
  <si>
    <t>Amundi Opportunités ESR</t>
  </si>
  <si>
    <t>Carmignac Investissement Latitude F</t>
  </si>
  <si>
    <t>CM-AM Avenir Dynamique</t>
  </si>
  <si>
    <t>DNCA Invest Evolutif</t>
  </si>
  <si>
    <t>ERES DNCA FLEXIBLE ET EVOLUTIF - H</t>
  </si>
  <si>
    <t>Global Multi Asset Income</t>
  </si>
  <si>
    <t>Global Fundamental Strategies</t>
  </si>
  <si>
    <t>GROUPAMA CONVICTIONS (ex-Groupama Selection ISR Convictions)</t>
  </si>
  <si>
    <t>Lazard Patrimoine Opportunities SRI</t>
  </si>
  <si>
    <t>Echiquier Patrimoine</t>
  </si>
  <si>
    <t>Avenir Diversifié (ex Avenir mixte solidaire)</t>
  </si>
  <si>
    <t>Multi Asset Global Opportunities - I</t>
  </si>
  <si>
    <t>SIENNA DIVERSIFIE FLEXIBLE MONDE - FS-C</t>
  </si>
  <si>
    <t>Amundi Label Actions Euroland ESR</t>
  </si>
  <si>
    <t>Carmignac Pf Grande Europe F EUR Acc</t>
  </si>
  <si>
    <t>CM-AM Convictions Euro</t>
  </si>
  <si>
    <t>ERES ECHIQUIER ACTIONS - H</t>
  </si>
  <si>
    <t>Avenir Actions Europe</t>
  </si>
  <si>
    <t>Amundi Funds Global Equity I2 EUR</t>
  </si>
  <si>
    <t>Carmignac Pf Investissement F EUR Acc</t>
  </si>
  <si>
    <t>Franklin Mutual Global Discovery</t>
  </si>
  <si>
    <t>SIENNA ACTIONS INTERNATIONALES FS-C</t>
  </si>
  <si>
    <t>Amundi Actions Euro Mid Cap ESR</t>
  </si>
  <si>
    <t>ERES SELECTION PME - H</t>
  </si>
  <si>
    <t>oui sur maitre</t>
  </si>
  <si>
    <t>AMUNDI FUNDS GLOBAL EQUITY RESPONSIBLE - I2 EUR</t>
  </si>
  <si>
    <t>ERES SELECT ISR ENVIRONNEMENT</t>
  </si>
  <si>
    <t>Robeco Smart Energy Equities</t>
  </si>
  <si>
    <t>SIENNA ACTIONS BAS CARBONE I-C</t>
  </si>
  <si>
    <t xml:space="preserve">oui </t>
  </si>
  <si>
    <t xml:space="preserve">non </t>
  </si>
  <si>
    <t>AMUNDI FUNDS US PIONEER FUND - I2 EUR</t>
  </si>
  <si>
    <t>CM-AM Perspective Global Gold</t>
  </si>
  <si>
    <t>ERES ENJEUX TECHNOLOGIQUES &amp; IA</t>
  </si>
  <si>
    <t>FF Global Technology</t>
  </si>
  <si>
    <t>Franklin Technology</t>
  </si>
  <si>
    <t>Tocqueville Europe Strategic Tech ISR GP</t>
  </si>
  <si>
    <t>SELECTION LOOMIS ACTIONS US I</t>
  </si>
  <si>
    <t>Pictet-Digital-I EUR</t>
  </si>
  <si>
    <t>Robeco Circular Economy</t>
  </si>
  <si>
    <t>SIENNA ACTIONS EURO SOUVERAINETE FS-C</t>
  </si>
  <si>
    <t>Sicav</t>
  </si>
  <si>
    <t>Article 8</t>
  </si>
  <si>
    <t>ERES SELECTION MONETAIRE - H</t>
  </si>
  <si>
    <t>SIENNA MONETAIRE - I-C</t>
  </si>
  <si>
    <t>ECOFI EURO AGGREGATE 3-5 ANS - C</t>
  </si>
  <si>
    <t>ERES SELECTION COURT TERME - H</t>
  </si>
  <si>
    <t>GROUPAMA EURO CREDIT SHORT DURATION (ex-Groupama Credit Euro CT)</t>
  </si>
  <si>
    <t>SIENNA SOUVERAINS 3-5 - Part FS-C</t>
  </si>
  <si>
    <t>ERES SCHELCHER OBLIGATIONS - H</t>
  </si>
  <si>
    <t>GROUPAMA GLOBAL BOND (ex-G Fund Global Bonds)</t>
  </si>
  <si>
    <t xml:space="preserve">ROBECO CREDIT INCOME </t>
  </si>
  <si>
    <t>SIENNA OBLIGATIONS MULTI STRAT - FS-C</t>
  </si>
  <si>
    <t>Multipar BNP Paribas Horizon Prudent</t>
  </si>
  <si>
    <t>Multipar Solidaire Equilibre Socialement Responsable</t>
  </si>
  <si>
    <t xml:space="preserve">Multipar Global Patrimoine </t>
  </si>
  <si>
    <t>Multipar Actions Socialement Responsable  </t>
  </si>
  <si>
    <t>Templeton European Insights Fund</t>
  </si>
  <si>
    <t>SIENNA ACTIONS EURO - FS-C</t>
  </si>
  <si>
    <t xml:space="preserve">Multipar BNP Paribas Horizon Long Terme </t>
  </si>
  <si>
    <t>ERES CARMIGNAC INVESTISSEMENT - H</t>
  </si>
  <si>
    <t xml:space="preserve">Global Equity Income ESG </t>
  </si>
  <si>
    <t>Pictet Security</t>
  </si>
  <si>
    <t xml:space="preserve">Multipar Actions PME ETI ISR </t>
  </si>
  <si>
    <t>CM-AM Stratégie PME-ETI*</t>
  </si>
  <si>
    <t>Echiquier Entrepreneurs G</t>
  </si>
  <si>
    <t xml:space="preserve">Multipar BNP Paribas Horizon 2034-2036 </t>
  </si>
  <si>
    <t>Multipar Solutions Environnement</t>
  </si>
  <si>
    <t>DNCA Invest Sustain Climate</t>
  </si>
  <si>
    <t>Article 9</t>
  </si>
  <si>
    <t>Pictet-Longevity-I EUR</t>
  </si>
  <si>
    <t>Fonds thématique autre</t>
  </si>
  <si>
    <t>Carmignac Portfolio Tech Solution</t>
  </si>
  <si>
    <t>Lazard Sovereignty Europe</t>
  </si>
  <si>
    <t>il y avait une ligne caché, à revoir les données collées ici.</t>
  </si>
  <si>
    <t>Actions Euro Innovation</t>
  </si>
  <si>
    <t>AXA IM</t>
  </si>
  <si>
    <t>Capital Monétaire 2 EUR</t>
  </si>
  <si>
    <t>AXA WF Euro Strategic Bonds I EUR</t>
  </si>
  <si>
    <t>AXA WF Global Strategic Bonds I (H) EUR</t>
  </si>
  <si>
    <t>Génération Equilibre 2 EUR</t>
  </si>
  <si>
    <t>AXA WF Optimal Income I EUR</t>
  </si>
  <si>
    <t>AXA WF Europe Equity Capitalisation EUR</t>
  </si>
  <si>
    <t>AXA IM Global Equity QI A EUR</t>
  </si>
  <si>
    <t>AXA WF Ex-Uk Europe MicroCap A pf EUR</t>
  </si>
  <si>
    <t>AXA Pension 2036 - 2038 I EUR</t>
  </si>
  <si>
    <t>AXA WF ACT Clean Economy A EUR</t>
  </si>
  <si>
    <t>AXA WF ACT Social Progress I EUR</t>
  </si>
  <si>
    <t>Candriam</t>
  </si>
  <si>
    <t>Candriam Monétaire SICAV</t>
  </si>
  <si>
    <t>Candriam Bonds Euro</t>
  </si>
  <si>
    <t xml:space="preserve">Candriam </t>
  </si>
  <si>
    <t>Candriam Bonds Credit Opportunities</t>
  </si>
  <si>
    <t>Candriam L Conservative Asset Allocation</t>
  </si>
  <si>
    <t>Candriam Sustainable Equity World</t>
  </si>
  <si>
    <t>Candriam Equities L Biotechnology</t>
  </si>
  <si>
    <t>Candriam L Multi-Asset Income &amp;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</si>
</sst>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[$-40C]d\ mmmm\ yyyy;@"/>
    <numFmt numFmtId="167" formatCode="dd/mm/yy;@"/>
    <numFmt numFmtId="168" formatCode="[$-40C]d\-mmm\-yy;@"/>
    <numFmt numFmtId="169" formatCode="_ * #,##0.00_)\ _€_ ;_ * \(#,##0.00\)\ _€_ ;_ * &quot;-&quot;??_)\ _€_ ;_ @_ "/>
    <numFmt numFmtId="170" formatCode="_ * #,##0.00_)\ &quot;€&quot;_ ;_ * \(#,##0.00\)\ &quot;€&quot;_ ;_ * &quot;-&quot;??_)\ &quot;€&quot;_ ;_ @_ "/>
    <numFmt numFmtId="171" formatCode="0.0"/>
    <numFmt numFmtId="172" formatCode="_ * #,##0.0_)\ _€_ ;_ * \(#,##0.0\)\ _€_ ;_ * &quot;-&quot;??_)\ _€_ ;_ @_ 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6"/>
      <color rgb="FFDD0806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C00000"/>
      <name val="Calibri"/>
      <family val="2"/>
    </font>
    <font>
      <b/>
      <sz val="12"/>
      <color rgb="FFCF1D28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lightUp">
        <bgColor theme="2" tint="-0.499984740745262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C80912"/>
      </top>
      <bottom style="thin">
        <color rgb="FFC8091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19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3" fillId="5" borderId="0">
      <protection locked="0"/>
    </xf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166" fontId="15" fillId="4" borderId="0" xfId="0" applyNumberFormat="1" applyFont="1" applyFill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0" fillId="2" borderId="0" xfId="0" applyFill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2" applyNumberFormat="1" applyFont="1" applyFill="1" applyBorder="1" applyAlignment="1">
      <alignment horizontal="center" vertical="center"/>
    </xf>
    <xf numFmtId="164" fontId="0" fillId="0" borderId="0" xfId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168" fontId="22" fillId="3" borderId="0" xfId="0" applyNumberFormat="1" applyFont="1" applyFill="1" applyAlignment="1" applyProtection="1">
      <alignment horizontal="left" vertical="center"/>
      <protection locked="0"/>
    </xf>
    <xf numFmtId="165" fontId="3" fillId="0" borderId="0" xfId="2" applyNumberFormat="1" applyFont="1" applyFill="1" applyBorder="1" applyAlignment="1">
      <alignment horizontal="center" vertical="center"/>
    </xf>
    <xf numFmtId="165" fontId="15" fillId="4" borderId="0" xfId="0" applyNumberFormat="1" applyFont="1" applyFill="1" applyAlignment="1" applyProtection="1">
      <alignment horizontal="center"/>
      <protection locked="0"/>
    </xf>
    <xf numFmtId="2" fontId="20" fillId="0" borderId="0" xfId="1" applyNumberFormat="1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2" fontId="0" fillId="2" borderId="0" xfId="0" applyNumberFormat="1" applyFill="1" applyProtection="1">
      <protection locked="0"/>
    </xf>
    <xf numFmtId="164" fontId="0" fillId="0" borderId="0" xfId="1" applyFont="1" applyFill="1" applyAlignment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10" fontId="0" fillId="2" borderId="0" xfId="0" applyNumberFormat="1" applyFill="1" applyProtection="1">
      <protection locked="0"/>
    </xf>
    <xf numFmtId="10" fontId="3" fillId="0" borderId="0" xfId="2" applyNumberFormat="1" applyFont="1" applyFill="1" applyBorder="1" applyAlignment="1">
      <alignment horizontal="center" vertical="center"/>
    </xf>
    <xf numFmtId="14" fontId="0" fillId="0" borderId="0" xfId="1" applyNumberFormat="1" applyFon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165" fontId="2" fillId="2" borderId="2" xfId="2" applyNumberFormat="1" applyFont="1" applyFill="1" applyBorder="1" applyAlignment="1" applyProtection="1">
      <alignment horizontal="center" vertical="center"/>
    </xf>
    <xf numFmtId="164" fontId="2" fillId="2" borderId="2" xfId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171" fontId="3" fillId="0" borderId="0" xfId="1" applyNumberFormat="1" applyFont="1" applyFill="1" applyBorder="1" applyAlignment="1">
      <alignment horizontal="center" vertical="center"/>
    </xf>
    <xf numFmtId="171" fontId="2" fillId="2" borderId="2" xfId="1" applyNumberFormat="1" applyFont="1" applyFill="1" applyBorder="1" applyAlignment="1" applyProtection="1">
      <alignment horizontal="center" vertical="center"/>
    </xf>
    <xf numFmtId="165" fontId="3" fillId="0" borderId="0" xfId="588" applyNumberFormat="1" applyFont="1" applyFill="1" applyBorder="1" applyAlignment="1">
      <alignment horizontal="center" vertical="center"/>
    </xf>
    <xf numFmtId="171" fontId="0" fillId="0" borderId="0" xfId="1" applyNumberFormat="1" applyFont="1" applyFill="1" applyBorder="1" applyAlignment="1">
      <alignment horizontal="center" vertical="center"/>
    </xf>
    <xf numFmtId="0" fontId="3" fillId="0" borderId="1" xfId="598" applyBorder="1" applyAlignment="1">
      <alignment horizontal="center" vertical="center" wrapText="1"/>
    </xf>
    <xf numFmtId="0" fontId="3" fillId="0" borderId="1" xfId="598" applyBorder="1" applyAlignment="1" applyProtection="1">
      <alignment horizontal="center" vertical="center" wrapText="1"/>
      <protection locked="0"/>
    </xf>
    <xf numFmtId="0" fontId="0" fillId="0" borderId="0" xfId="1" applyNumberFormat="1" applyFont="1" applyFill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10" fontId="0" fillId="0" borderId="0" xfId="1" applyNumberFormat="1" applyFont="1" applyFill="1" applyAlignment="1">
      <alignment horizontal="center" vertical="center"/>
    </xf>
    <xf numFmtId="165" fontId="3" fillId="0" borderId="0" xfId="2" applyNumberFormat="1" applyFont="1" applyFill="1" applyBorder="1" applyAlignment="1">
      <alignment horizontal="left" vertical="center" indent="1"/>
    </xf>
    <xf numFmtId="165" fontId="3" fillId="0" borderId="0" xfId="588" applyNumberFormat="1" applyFont="1" applyFill="1" applyBorder="1" applyAlignment="1">
      <alignment horizontal="left" vertical="center" indent="1"/>
    </xf>
    <xf numFmtId="165" fontId="0" fillId="0" borderId="0" xfId="2" applyNumberFormat="1" applyFont="1" applyFill="1" applyBorder="1" applyAlignment="1">
      <alignment horizontal="left" vertical="center" indent="1"/>
    </xf>
    <xf numFmtId="165" fontId="0" fillId="0" borderId="0" xfId="1" applyNumberFormat="1" applyFont="1" applyFill="1" applyBorder="1" applyAlignment="1">
      <alignment horizontal="left" vertical="center" indent="1"/>
    </xf>
    <xf numFmtId="172" fontId="3" fillId="0" borderId="0" xfId="1" applyNumberFormat="1" applyFont="1" applyFill="1" applyBorder="1" applyAlignment="1">
      <alignment horizontal="left" vertical="center" indent="1"/>
    </xf>
    <xf numFmtId="172" fontId="0" fillId="0" borderId="0" xfId="1" applyNumberFormat="1" applyFont="1" applyFill="1" applyBorder="1" applyAlignment="1">
      <alignment horizontal="left" vertical="center" indent="1"/>
    </xf>
    <xf numFmtId="172" fontId="3" fillId="0" borderId="0" xfId="1" applyNumberFormat="1" applyFont="1" applyFill="1" applyBorder="1" applyAlignment="1">
      <alignment horizontal="center" vertical="center"/>
    </xf>
    <xf numFmtId="172" fontId="0" fillId="0" borderId="0" xfId="1" applyNumberFormat="1" applyFont="1" applyFill="1" applyBorder="1" applyAlignment="1">
      <alignment horizontal="center" vertical="center"/>
    </xf>
    <xf numFmtId="165" fontId="0" fillId="0" borderId="0" xfId="588" applyNumberFormat="1" applyFont="1" applyFill="1" applyBorder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 applyProtection="1">
      <alignment horizontal="center"/>
      <protection locked="0"/>
    </xf>
    <xf numFmtId="10" fontId="0" fillId="2" borderId="0" xfId="1" applyNumberFormat="1" applyFont="1" applyFill="1" applyBorder="1" applyAlignment="1">
      <alignment horizontal="center" vertical="center"/>
    </xf>
  </cellXfs>
  <cellStyles count="619">
    <cellStyle name="Comma 2" xfId="591" xr:uid="{80C025C6-C614-4351-80B5-538828415AEF}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Milliers" xfId="1" builtinId="3"/>
    <cellStyle name="Milliers 2" xfId="590" xr:uid="{01D4D6FE-42BA-407F-8E2D-849B4193B87A}"/>
    <cellStyle name="Milliers 2 2" xfId="606" xr:uid="{5D7C7571-B776-4FE7-BC54-652B5E1607E5}"/>
    <cellStyle name="Milliers 2 3" xfId="610" xr:uid="{A35BB7C5-98BF-4C1A-894C-27135CFEF6D2}"/>
    <cellStyle name="Milliers 2 4" xfId="608" xr:uid="{69B89A75-36AA-4144-B50E-59978765875F}"/>
    <cellStyle name="Milliers 3" xfId="592" xr:uid="{7505EC15-9AAF-4EEA-9237-891566BE0C21}"/>
    <cellStyle name="Monétaire 2" xfId="595" xr:uid="{13FD93A5-2613-42BE-B3A0-F1BC7AF6EEB3}"/>
    <cellStyle name="Monétaire 2 2" xfId="599" xr:uid="{17D53DCB-F936-411A-B261-2714A7E7484C}"/>
    <cellStyle name="Monétaire 2 2 2" xfId="614" xr:uid="{AAFBA438-2010-4C6C-964A-6F9BF6711C9A}"/>
    <cellStyle name="Monétaire 2 3" xfId="612" xr:uid="{F21103DA-DE70-407B-99AF-8A7DFA3D3F8F}"/>
    <cellStyle name="Monétaire 3" xfId="597" xr:uid="{19AC412B-66EE-45E0-A05C-3EA7ED8B9053}"/>
    <cellStyle name="Monétaire 3 2" xfId="613" xr:uid="{FA7CB7C7-83E7-4825-BDFD-E6513BE42034}"/>
    <cellStyle name="Monétaire 4" xfId="593" xr:uid="{FCB157F4-5598-46EE-A2DF-ACC21427DE2A}"/>
    <cellStyle name="Normal" xfId="0" builtinId="0"/>
    <cellStyle name="Normal 2" xfId="594" xr:uid="{F414EDA2-DB12-45BA-A038-A5CA63090B94}"/>
    <cellStyle name="Normal 2 2" xfId="598" xr:uid="{DA6DA4D4-5397-479B-93DB-E48C47A01C65}"/>
    <cellStyle name="Normal 2 2 2" xfId="603" xr:uid="{F03AC46E-491F-4650-AF91-779AB46FC3BD}"/>
    <cellStyle name="Normal 2 2 2 2" xfId="617" xr:uid="{7DCC743C-AF5C-4934-9A10-13F3B56B71AE}"/>
    <cellStyle name="Normal 2 3" xfId="611" xr:uid="{BD8D707D-E84F-4703-8173-678B5605BC4E}"/>
    <cellStyle name="Normal 3" xfId="596" xr:uid="{94E819BF-92D9-4A62-A52D-5CBC5B62C41A}"/>
    <cellStyle name="Normal 4" xfId="600" xr:uid="{AA3588B1-2D65-436E-A634-71B47F18EF4B}"/>
    <cellStyle name="Normal 4 2" xfId="615" xr:uid="{B9511431-7AE7-47F8-AD31-644882571D54}"/>
    <cellStyle name="Normal 5" xfId="387" xr:uid="{00000000-0005-0000-0000-00004A020000}"/>
    <cellStyle name="Normal 5 2" xfId="604" xr:uid="{4C1700E1-F05A-44AC-BFB8-DD26EC344078}"/>
    <cellStyle name="Normal 5 2 2" xfId="618" xr:uid="{2EE0BD0F-D173-4CCF-9350-CD2A466125A2}"/>
    <cellStyle name="Normal 5 3" xfId="609" xr:uid="{1B3111EA-1D9F-4106-B147-727BC0EDAC4C}"/>
    <cellStyle name="Normal 5 4" xfId="607" xr:uid="{D132C521-3AC7-4D2A-AC08-F57C32EE21E0}"/>
    <cellStyle name="Normal 7" xfId="602" xr:uid="{928D2ACD-76C1-457E-96AE-CDDA9F3C581C}"/>
    <cellStyle name="Normal 7 2" xfId="616" xr:uid="{3507CAB6-03DF-419E-84CC-D4A526AB335B}"/>
    <cellStyle name="Percent 2" xfId="589" xr:uid="{896C9CEC-FFD1-463C-9F8B-0D026C2922E3}"/>
    <cellStyle name="Pourcentage" xfId="2" builtinId="5"/>
    <cellStyle name="Pourcentage 2" xfId="588" xr:uid="{C83FA1A6-6BF1-4A40-8E21-DA7F82EE6D4E}"/>
    <cellStyle name="Pourcentage 2 2" xfId="605" xr:uid="{6DF9477F-E91F-4E41-BF1B-B35EB1CA23D0}"/>
    <cellStyle name="Style 1" xfId="601" xr:uid="{C4681EE8-C67A-4F9F-9C95-039AEA5E77BF}"/>
  </cellStyles>
  <dxfs count="3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71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2" formatCode="_ * #,##0.0_)\ _€_ ;_ * \(#,##0.0\)\ _€_ ;_ * &quot;-&quot;??_)\ _€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172" formatCode="_ * #,##0.0_)\ _€_ ;_ * \(#,##0.0\)\ _€_ ;_ * &quot;-&quot;??_)\ _€_ ;_ @_ 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ont>
        <b val="0"/>
      </font>
      <numFmt numFmtId="165" formatCode="0.0%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3" defaultTableStyle="TableStyleMedium2" defaultPivotStyle="PivotStyleLight16">
    <tableStyle name="Résultats Observatoire" pivot="0" count="2" xr9:uid="{00000000-0011-0000-FFFF-FFFF00000000}">
      <tableStyleElement type="headerRow" dxfId="389"/>
      <tableStyleElement type="firstRowStripe" dxfId="388"/>
    </tableStyle>
    <tableStyle name="Style de tableau 1" pivot="0" count="2" xr9:uid="{00000000-0011-0000-FFFF-FFFF01000000}">
      <tableStyleElement type="firstRowStripe" dxfId="387"/>
      <tableStyleElement type="secondRowStripe" dxfId="386"/>
    </tableStyle>
    <tableStyle name="Style de tableau 2" pivot="0" count="2" xr9:uid="{00000000-0011-0000-FFFF-FFFF02000000}">
      <tableStyleElement type="firstRowStripe" dxfId="385"/>
      <tableStyleElement type="secondRowStripe" dxfId="384"/>
    </tableStyle>
  </tableStyles>
  <colors>
    <mruColors>
      <color rgb="FFCF1D28"/>
      <color rgb="FF008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able11" displayName="Table11" ref="A3:AE13" totalsRowShown="0">
  <autoFilter ref="A3:AE13" xr:uid="{00000000-0009-0000-0100-00000B000000}"/>
  <sortState xmlns:xlrd2="http://schemas.microsoft.com/office/spreadsheetml/2017/richdata2" ref="A4:AE13">
    <sortCondition ref="A3:A13"/>
  </sortState>
  <tableColumns count="31">
    <tableColumn id="1" xr3:uid="{00000000-0010-0000-0000-000001000000}" name="Société"/>
    <tableColumn id="2" xr3:uid="{00000000-0010-0000-0000-000002000000}" name="Nom du fonds"/>
    <tableColumn id="3" xr3:uid="{00000000-0010-0000-0000-000003000000}" name="Performance annualisée depuis 01/08" dataDxfId="383"/>
    <tableColumn id="4" xr3:uid="{00000000-0010-0000-0000-000004000000}" name="Perf. Totale depuis 01/08" dataDxfId="382"/>
    <tableColumn id="5" xr3:uid="{00000000-0010-0000-0000-000005000000}" name="Volatilité annualisée depuis 01/08" dataDxfId="381"/>
    <tableColumn id="6" xr3:uid="{00000000-0010-0000-0000-000006000000}" name="Max Drawdown depuis 01/08" dataDxfId="380"/>
    <tableColumn id="7" xr3:uid="{00000000-0010-0000-0000-000007000000}" name="Couple Rendement / Risque depuis 01/08" dataDxfId="379"/>
    <tableColumn id="27" xr3:uid="{C8DB1570-3F48-4284-A196-8D3D528420FB}" name="Performance annualisée 10 ans" dataDxfId="378" dataCellStyle="Pourcentage"/>
    <tableColumn id="28" xr3:uid="{34F9B09B-33A4-40D8-9A73-036F1F1E1822}" name="Volatilité annualisée 10 ans" dataDxfId="377" dataCellStyle="Pourcentage"/>
    <tableColumn id="29" xr3:uid="{4C403E67-8C92-4D9F-8160-F0FD01F3EE43}" name="Max Drawdown 10 ans" dataDxfId="376" dataCellStyle="Pourcentage"/>
    <tableColumn id="30" xr3:uid="{EE17C067-047A-4428-A309-2355AC4BC4A3}" name="Couple Rendement Risque 10 ans" dataDxfId="375" dataCellStyle="Milliers"/>
    <tableColumn id="8" xr3:uid="{00000000-0010-0000-0000-000008000000}" name="Performance annualisée 5 ans" dataDxfId="374"/>
    <tableColumn id="9" xr3:uid="{00000000-0010-0000-0000-000009000000}" name="Volatilité annualisée 5 ans" dataDxfId="373"/>
    <tableColumn id="10" xr3:uid="{00000000-0010-0000-0000-00000A000000}" name="Max Drawdown 5 ans" dataDxfId="372"/>
    <tableColumn id="11" xr3:uid="{00000000-0010-0000-0000-00000B000000}" name="Couple Rendement Risque 5 ans" dataDxfId="371"/>
    <tableColumn id="12" xr3:uid="{00000000-0010-0000-0000-00000C000000}" name="Performance annualisée 3 ans" dataDxfId="370"/>
    <tableColumn id="13" xr3:uid="{00000000-0010-0000-0000-00000D000000}" name="Volatilité annualisée 3 ans" dataDxfId="369"/>
    <tableColumn id="14" xr3:uid="{00000000-0010-0000-0000-00000E000000}" name="Max Drawdown 3 ans" dataDxfId="368"/>
    <tableColumn id="15" xr3:uid="{00000000-0010-0000-0000-00000F000000}" name="Couple Rendement Risque 3 ans" dataDxfId="367"/>
    <tableColumn id="16" xr3:uid="{00000000-0010-0000-0000-000010000000}" name="Performance annualisée 1 an" dataDxfId="366"/>
    <tableColumn id="17" xr3:uid="{00000000-0010-0000-0000-000011000000}" name="Volatilité annualisée 1 an" dataDxfId="365"/>
    <tableColumn id="18" xr3:uid="{00000000-0010-0000-0000-000012000000}" name="Max Drawdown 1 an" dataDxfId="364"/>
    <tableColumn id="19" xr3:uid="{00000000-0010-0000-0000-000013000000}" name="Couple Rendement Risque 1 an" dataDxfId="363"/>
    <tableColumn id="20" xr3:uid="{00000000-0010-0000-0000-000014000000}" name="Date de recommandation du fonds"/>
    <tableColumn id="21" xr3:uid="{00000000-0010-0000-0000-000015000000}" name="Article SFDR (6,8 ou 9)" dataDxfId="362"/>
    <tableColumn id="24" xr3:uid="{226AEB91-F3B9-4DDE-8389-255FDA6455D2}" name="label ISR (oui/non)" dataDxfId="361" dataCellStyle="Milliers"/>
    <tableColumn id="26" xr3:uid="{579D2893-5F11-43A7-AA65-A2F1531EC087}" name="label Finansol (oui/non)" dataDxfId="360" dataCellStyle="Milliers"/>
    <tableColumn id="25" xr3:uid="{4A2B6FF6-E416-4161-819D-9803A306CA18}" name="label Greenfin (oui/non)" dataDxfId="359" dataCellStyle="Milliers"/>
    <tableColumn id="22" xr3:uid="{00000000-0010-0000-0000-000016000000}" name="label CIES (oui/non)" dataDxfId="358"/>
    <tableColumn id="23" xr3:uid="{00000000-0010-0000-0000-000017000000}" name="label France Relance (oui/non)" dataDxfId="357"/>
    <tableColumn id="31" xr3:uid="{F105A46F-644B-40B6-A0F2-42421B0668E5}" name="Type" dataDxfId="356" dataCellStyle="Milliers"/>
  </tableColumns>
  <tableStyleInfo name="Résultats Observatoir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5" displayName="Table5" ref="A3:AE14" totalsRowShown="0">
  <autoFilter ref="A3:AE14" xr:uid="{00000000-0009-0000-0100-000005000000}"/>
  <sortState xmlns:xlrd2="http://schemas.microsoft.com/office/spreadsheetml/2017/richdata2" ref="A4:AE14">
    <sortCondition ref="A3:A14"/>
  </sortState>
  <tableColumns count="31">
    <tableColumn id="1" xr3:uid="{00000000-0010-0000-0A00-000001000000}" name="Société" dataDxfId="149"/>
    <tableColumn id="2" xr3:uid="{00000000-0010-0000-0A00-000002000000}" name="Nom du fonds" dataDxfId="148"/>
    <tableColumn id="3" xr3:uid="{00000000-0010-0000-0A00-000003000000}" name="Performance annualisée depuis 01/08" dataDxfId="147" dataCellStyle="Pourcentage"/>
    <tableColumn id="4" xr3:uid="{00000000-0010-0000-0A00-000004000000}" name="Perf. Totale depuis 01/08" dataDxfId="146" dataCellStyle="Pourcentage"/>
    <tableColumn id="5" xr3:uid="{00000000-0010-0000-0A00-000005000000}" name="Volatilité annualisée depuis 01/08" dataDxfId="145" dataCellStyle="Pourcentage"/>
    <tableColumn id="6" xr3:uid="{00000000-0010-0000-0A00-000006000000}" name="Max Drawdown depuis 01/08" dataDxfId="144" dataCellStyle="Pourcentage"/>
    <tableColumn id="7" xr3:uid="{00000000-0010-0000-0A00-000007000000}" name="Couple Rendement / Risque depuis 01/08" dataDxfId="143" dataCellStyle="Milliers"/>
    <tableColumn id="27" xr3:uid="{49C875F3-E833-4570-8AB0-BB0A1DEC3687}" name="Performance annualisée 10 ans" dataDxfId="142" dataCellStyle="Pourcentage"/>
    <tableColumn id="28" xr3:uid="{159FA5F8-27F8-4953-BF3F-9186130A614F}" name="Volatilité annualisée 10 ans" dataDxfId="141" dataCellStyle="Pourcentage"/>
    <tableColumn id="29" xr3:uid="{C7097B7F-C42D-4030-BFBE-3CE67B61F4EC}" name="Max Drawdown 10 ans" dataDxfId="140" dataCellStyle="Pourcentage"/>
    <tableColumn id="30" xr3:uid="{62223F25-83F4-40B7-A38C-D673920C713E}" name="Couple Rendement Risque 10 ans" dataDxfId="139" dataCellStyle="Milliers"/>
    <tableColumn id="8" xr3:uid="{00000000-0010-0000-0A00-000008000000}" name="Performance annualisée 5 ans" dataDxfId="138" dataCellStyle="Pourcentage"/>
    <tableColumn id="9" xr3:uid="{00000000-0010-0000-0A00-000009000000}" name="Volatilité annualisée 5 ans" dataDxfId="137" dataCellStyle="Pourcentage"/>
    <tableColumn id="10" xr3:uid="{00000000-0010-0000-0A00-00000A000000}" name="Max Drawdown 5 ans" dataDxfId="136" dataCellStyle="Pourcentage"/>
    <tableColumn id="11" xr3:uid="{00000000-0010-0000-0A00-00000B000000}" name="Couple Rendement Risque 5 ans" dataDxfId="135" dataCellStyle="Milliers"/>
    <tableColumn id="12" xr3:uid="{00000000-0010-0000-0A00-00000C000000}" name="Performance annualisée 3 ans" dataDxfId="134" dataCellStyle="Pourcentage"/>
    <tableColumn id="13" xr3:uid="{00000000-0010-0000-0A00-00000D000000}" name="Volatilité annualisée 3 ans" dataDxfId="133" dataCellStyle="Pourcentage"/>
    <tableColumn id="14" xr3:uid="{00000000-0010-0000-0A00-00000E000000}" name="Max Drawdown 3 ans" dataDxfId="132" dataCellStyle="Pourcentage"/>
    <tableColumn id="15" xr3:uid="{00000000-0010-0000-0A00-00000F000000}" name="Couple Rendement Risque 3 ans" dataDxfId="131" dataCellStyle="Milliers"/>
    <tableColumn id="16" xr3:uid="{00000000-0010-0000-0A00-000010000000}" name="Performance annualisée 1 an" dataDxfId="130" dataCellStyle="Pourcentage"/>
    <tableColumn id="17" xr3:uid="{00000000-0010-0000-0A00-000011000000}" name="Volatilité annualisée 1 an" dataDxfId="129" dataCellStyle="Pourcentage"/>
    <tableColumn id="18" xr3:uid="{00000000-0010-0000-0A00-000012000000}" name="Max Drawdown 1 an" dataDxfId="128" dataCellStyle="Pourcentage"/>
    <tableColumn id="19" xr3:uid="{00000000-0010-0000-0A00-000013000000}" name="Couple Rendement Risque 1 an" dataDxfId="127" dataCellStyle="Milliers"/>
    <tableColumn id="20" xr3:uid="{00000000-0010-0000-0A00-000014000000}" name="Date de recommandation du fonds" dataDxfId="126" dataCellStyle="Milliers"/>
    <tableColumn id="24" xr3:uid="{73D2E57E-92EE-4813-A4B0-0DB32A20D06E}" name="Article SFDR (6,8 ou 9)" dataDxfId="125" dataCellStyle="Milliers"/>
    <tableColumn id="26" xr3:uid="{31A39F6B-33DF-43A0-A473-A079BCA9095E}" name="label ISR (oui/non)" dataDxfId="124" dataCellStyle="Milliers"/>
    <tableColumn id="25" xr3:uid="{9D6E0EEA-1163-4191-B483-FD683E6D969D}" name="label Finansol (oui/non)" dataDxfId="123" dataCellStyle="Milliers"/>
    <tableColumn id="22" xr3:uid="{00000000-0010-0000-0A00-000016000000}" name="label Greenfin (oui/non)" dataDxfId="122" dataCellStyle="Milliers"/>
    <tableColumn id="23" xr3:uid="{00000000-0010-0000-0A00-000017000000}" name="label CIES (oui/non)" dataDxfId="121" dataCellStyle="Milliers"/>
    <tableColumn id="31" xr3:uid="{DB907427-E1E6-4D76-B957-E592B726AF50}" name="label France Relance (oui/non)" dataDxfId="120" dataCellStyle="Milliers"/>
    <tableColumn id="32" xr3:uid="{3EF7790B-F576-4966-B4B3-CD479531907D}" name="Type" dataDxfId="119" dataCellStyle="Milliers"/>
  </tableColumns>
  <tableStyleInfo name="Résultats Observatoir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6" displayName="Table6" ref="A3:AE9" totalsRowShown="0">
  <autoFilter ref="A3:AE9" xr:uid="{00000000-0009-0000-0100-000006000000}"/>
  <sortState xmlns:xlrd2="http://schemas.microsoft.com/office/spreadsheetml/2017/richdata2" ref="A4:AE9">
    <sortCondition ref="A3:A9"/>
  </sortState>
  <tableColumns count="31">
    <tableColumn id="1" xr3:uid="{00000000-0010-0000-0B00-000001000000}" name="Société" dataDxfId="118"/>
    <tableColumn id="2" xr3:uid="{00000000-0010-0000-0B00-000002000000}" name="Nom du fonds" dataDxfId="117"/>
    <tableColumn id="3" xr3:uid="{00000000-0010-0000-0B00-000003000000}" name="Performance annualisée depuis 01/08" dataDxfId="116" dataCellStyle="Pourcentage"/>
    <tableColumn id="4" xr3:uid="{00000000-0010-0000-0B00-000004000000}" name="Perf. Totale depuis 01/08" dataDxfId="115" dataCellStyle="Pourcentage"/>
    <tableColumn id="5" xr3:uid="{00000000-0010-0000-0B00-000005000000}" name="Volatilité annualisée depuis 01/08" dataDxfId="114" dataCellStyle="Pourcentage"/>
    <tableColumn id="6" xr3:uid="{00000000-0010-0000-0B00-000006000000}" name="Max Drawdown depuis 01/08" dataDxfId="113" dataCellStyle="Pourcentage"/>
    <tableColumn id="7" xr3:uid="{00000000-0010-0000-0B00-000007000000}" name="Couple Rendement / Risque depuis 01/08" dataDxfId="112" dataCellStyle="Milliers"/>
    <tableColumn id="27" xr3:uid="{8D98D393-1EEC-4272-A124-CB17ED1F27CB}" name="Performance annualisée 10 ans" dataDxfId="111" dataCellStyle="Milliers"/>
    <tableColumn id="28" xr3:uid="{F6E21668-134A-48C8-9F13-83B5C3612C35}" name="Volatilité annualisée 10 ans" dataDxfId="110" dataCellStyle="Milliers"/>
    <tableColumn id="29" xr3:uid="{26F02D54-53D4-417C-9F59-CD84C433380B}" name="Max Drawdown 10 ans" dataDxfId="109" dataCellStyle="Milliers"/>
    <tableColumn id="30" xr3:uid="{C205E7E1-AD94-4AAC-B5A6-881FF773CB82}" name="Couple Rendement Risque 10 ans" dataDxfId="108" dataCellStyle="Milliers"/>
    <tableColumn id="8" xr3:uid="{00000000-0010-0000-0B00-000008000000}" name="Performance annualisée 5 ans" dataDxfId="107" dataCellStyle="Pourcentage"/>
    <tableColumn id="9" xr3:uid="{00000000-0010-0000-0B00-000009000000}" name="Volatilité annualisée 5 ans" dataDxfId="106" dataCellStyle="Pourcentage"/>
    <tableColumn id="10" xr3:uid="{00000000-0010-0000-0B00-00000A000000}" name="Max Drawdown 5 ans" dataDxfId="105" dataCellStyle="Pourcentage"/>
    <tableColumn id="11" xr3:uid="{00000000-0010-0000-0B00-00000B000000}" name="Couple Rendement Risque 5 ans" dataDxfId="104" dataCellStyle="Milliers"/>
    <tableColumn id="12" xr3:uid="{00000000-0010-0000-0B00-00000C000000}" name="Performance annualisée 3 ans" dataDxfId="103" dataCellStyle="Pourcentage"/>
    <tableColumn id="13" xr3:uid="{00000000-0010-0000-0B00-00000D000000}" name="Volatilité annualisée 3 ans" dataDxfId="102" dataCellStyle="Pourcentage"/>
    <tableColumn id="14" xr3:uid="{00000000-0010-0000-0B00-00000E000000}" name="Max Drawdown 3 ans" dataDxfId="101" dataCellStyle="Pourcentage"/>
    <tableColumn id="15" xr3:uid="{00000000-0010-0000-0B00-00000F000000}" name="Couple Rendement Risque 3 ans" dataDxfId="100" dataCellStyle="Milliers"/>
    <tableColumn id="16" xr3:uid="{00000000-0010-0000-0B00-000010000000}" name="Performance annualisée 1 an" dataDxfId="99" dataCellStyle="Pourcentage"/>
    <tableColumn id="17" xr3:uid="{00000000-0010-0000-0B00-000011000000}" name="Volatilité annualisée 1 an" dataDxfId="98" dataCellStyle="Pourcentage"/>
    <tableColumn id="18" xr3:uid="{00000000-0010-0000-0B00-000012000000}" name="Max Drawdown 1 an" dataDxfId="97" dataCellStyle="Pourcentage"/>
    <tableColumn id="19" xr3:uid="{00000000-0010-0000-0B00-000013000000}" name="Couple Rendement Risque 1 an" dataDxfId="96" dataCellStyle="Milliers"/>
    <tableColumn id="20" xr3:uid="{00000000-0010-0000-0B00-000014000000}" name="Date de recommandation du fonds" dataDxfId="95" dataCellStyle="Milliers"/>
    <tableColumn id="24" xr3:uid="{2F64D657-AA74-4C16-927B-00CE6C90E6BB}" name="Article SFDR (6,8 ou 9)" dataDxfId="94" dataCellStyle="Milliers"/>
    <tableColumn id="26" xr3:uid="{EB6F1BA0-1BA7-4D38-99CB-F778E577CF05}" name="label ISR (oui/non)" dataDxfId="93" dataCellStyle="Milliers"/>
    <tableColumn id="25" xr3:uid="{BB819940-EDAA-4B3B-AEE4-B750EA021D74}" name="label Finansol (oui/non)" dataDxfId="92" dataCellStyle="Milliers"/>
    <tableColumn id="22" xr3:uid="{00000000-0010-0000-0B00-000016000000}" name="label Greenfin (oui/non)" dataDxfId="91" dataCellStyle="Milliers"/>
    <tableColumn id="23" xr3:uid="{00000000-0010-0000-0B00-000017000000}" name="label CIES (oui/non)" dataDxfId="90" dataCellStyle="Milliers"/>
    <tableColumn id="31" xr3:uid="{30A98B95-D9B5-4D9C-A1A0-179CE4E86824}" name="label France Relance (oui/non)" dataDxfId="89" dataCellStyle="Milliers"/>
    <tableColumn id="32" xr3:uid="{71E3DB82-7E3F-4B1E-9FFE-5E4E76723BBA}" name="Type" dataDxfId="88" dataCellStyle="Milliers"/>
  </tableColumns>
  <tableStyleInfo name="Résultats Observatoire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BC53A9A-DAD6-4B19-ADE0-BCE02993589C}" name="Table113" displayName="Table113" ref="A3:AE18" totalsRowShown="0">
  <autoFilter ref="A3:AE18" xr:uid="{00000000-0009-0000-0100-000001000000}"/>
  <sortState xmlns:xlrd2="http://schemas.microsoft.com/office/spreadsheetml/2017/richdata2" ref="A4:AE18">
    <sortCondition ref="A3:A18"/>
  </sortState>
  <tableColumns count="31">
    <tableColumn id="1" xr3:uid="{6093E4D7-E433-4A31-80A2-2C2389D3716C}" name="Société"/>
    <tableColumn id="2" xr3:uid="{DC391FDB-3A4A-45AA-8EDE-927C3A51123B}" name="Nom du fonds"/>
    <tableColumn id="3" xr3:uid="{3BE2966C-D611-4B9C-BCBC-D0D1B78C4B6A}" name="Performance annualisée depuis 01/08" dataDxfId="87"/>
    <tableColumn id="4" xr3:uid="{4F9092E9-BC38-4513-94F3-6EF0426E1401}" name="Perf. Totale depuis 01/08" dataDxfId="86"/>
    <tableColumn id="5" xr3:uid="{2BF8F188-6B93-43CD-8530-C91B2D822F83}" name="Volatilité annualisée depuis 01/08" dataDxfId="85"/>
    <tableColumn id="6" xr3:uid="{7A03926C-16F3-4B08-B561-7E79C356E7FE}" name="Max Drawdown depuis 01/08" dataDxfId="84"/>
    <tableColumn id="7" xr3:uid="{D433BDD7-F4EC-4A1F-A577-6684D87B5E5C}" name="Couple Rendement / Risque depuis 01/08" dataDxfId="83"/>
    <tableColumn id="33" xr3:uid="{B925A4D5-6166-413F-9A67-FC3E8F56E7BF}" name="Performance annualisée 10 ans" dataDxfId="82" dataCellStyle="Pourcentage"/>
    <tableColumn id="34" xr3:uid="{3F4B12EF-DFD2-48DA-B650-CC6FE8FCD5E3}" name="Volatilité annualisée 10 ans" dataDxfId="81" dataCellStyle="Pourcentage"/>
    <tableColumn id="35" xr3:uid="{06DCDEC4-3EF7-4CC7-A904-3929955E4C16}" name="Max Drawdown 10 ans" dataDxfId="80" dataCellStyle="Pourcentage"/>
    <tableColumn id="36" xr3:uid="{8579EDD1-3EAC-42B6-80D3-761DC4A01CAD}" name="Couple Rendement Risque 10 ans" dataDxfId="79" dataCellStyle="Milliers"/>
    <tableColumn id="8" xr3:uid="{BBF54244-D932-408A-889A-BA87CC0AA63B}" name="Performance annualisée 5 ans" dataDxfId="78"/>
    <tableColumn id="9" xr3:uid="{625F70BB-A6B7-481A-A4AA-3E643A378DC0}" name="Volatilité annualisée 5 ans" dataDxfId="77"/>
    <tableColumn id="10" xr3:uid="{95A07107-E27D-4F2D-A239-935FDCC4F34C}" name="Max Drawdown 5 ans" dataDxfId="76"/>
    <tableColumn id="11" xr3:uid="{315F0D7E-666D-4DA4-9AE3-A99323D551B8}" name="Couple Rendement Risque 5 ans" dataDxfId="75"/>
    <tableColumn id="12" xr3:uid="{26AE84BA-56CE-45A1-8E10-F527ED9F225B}" name="Performance annualisée 3 ans" dataDxfId="74"/>
    <tableColumn id="13" xr3:uid="{68EDCFC8-980B-47D2-B9F4-722F1E0C5F1C}" name="Volatilité annualisée 3 ans" dataDxfId="73"/>
    <tableColumn id="14" xr3:uid="{FAF5198E-94F4-4012-BB72-C6EDBF65EA85}" name="Max Drawdown 3 ans" dataDxfId="72"/>
    <tableColumn id="15" xr3:uid="{626CD374-56DE-45C1-94A9-6ED44FC63781}" name="Couple Rendement Risque 3 ans" dataDxfId="71"/>
    <tableColumn id="16" xr3:uid="{1491F98F-6FCB-4633-8B1D-BD66148E8E5F}" name="Performance annualisée 1 an" dataDxfId="70"/>
    <tableColumn id="17" xr3:uid="{019712E2-35E9-458F-8953-6C0F47980FDF}" name="Volatilité annualisée 1 an" dataDxfId="69"/>
    <tableColumn id="18" xr3:uid="{B2F4AA29-F41F-4470-B869-6496802E4E9F}" name="Max Drawdown 1 an" dataDxfId="68"/>
    <tableColumn id="19" xr3:uid="{7DF01C82-E3A3-488D-B036-732F9FFD646F}" name="Couple Rendement Risque 1 an" dataDxfId="67"/>
    <tableColumn id="20" xr3:uid="{42CD6F46-2172-4798-9514-DCFB2AF2554E}" name="Date de recommandation du fonds"/>
    <tableColumn id="24" xr3:uid="{256123AD-AE7A-4573-B8EA-AEBF1355C63D}" name="Article SFDR (6,8 ou 9)" dataDxfId="66" dataCellStyle="Milliers"/>
    <tableColumn id="26" xr3:uid="{F7A33978-1728-4639-B5C9-7698265284F4}" name="label ISR (oui/non)" dataDxfId="65" dataCellStyle="Milliers"/>
    <tableColumn id="25" xr3:uid="{3E0E48CE-9C20-44B2-861B-40C71BF31F1B}" name="label Finansol (oui/non)" dataDxfId="64" dataCellStyle="Milliers"/>
    <tableColumn id="22" xr3:uid="{D9DFD82D-EBF3-4D3C-BB68-E323C070B338}" name="label Greenfin (oui/non)"/>
    <tableColumn id="23" xr3:uid="{FB205D17-8556-44DF-A7AA-421634528B55}" name="label CIES (oui/non)"/>
    <tableColumn id="27" xr3:uid="{F0C6B175-CD65-45C1-89D4-674719117CEE}" name="label France Relance (oui/non)" dataDxfId="63" dataCellStyle="Milliers"/>
    <tableColumn id="28" xr3:uid="{CAD64047-B124-453B-B85D-37F008C1E476}" name="Type" dataDxfId="62"/>
  </tableColumns>
  <tableStyleInfo name="Résultats Observatoir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0DBD3FA-29FD-4515-A1BE-59708BFDE1BA}" name="Table11314" displayName="Table11314" ref="A3:AE12" totalsRowShown="0">
  <autoFilter ref="A3:AE12" xr:uid="{00000000-0009-0000-0100-000001000000}"/>
  <sortState xmlns:xlrd2="http://schemas.microsoft.com/office/spreadsheetml/2017/richdata2" ref="A4:AE12">
    <sortCondition ref="A3:A12"/>
  </sortState>
  <tableColumns count="31">
    <tableColumn id="1" xr3:uid="{E94A6E74-DA3A-4797-8320-F7C0DE1601E9}" name="Société" dataDxfId="61"/>
    <tableColumn id="2" xr3:uid="{2EBBEA14-75EE-4674-84E0-937419B79469}" name="Nom du fonds" dataDxfId="60"/>
    <tableColumn id="3" xr3:uid="{6715CEFE-3850-4C9D-AD7D-FA2BD9035BAD}" name="Performance annualisée depuis 01/08" dataDxfId="59" dataCellStyle="Pourcentage"/>
    <tableColumn id="4" xr3:uid="{58700016-0A18-458E-8251-25DCB1668460}" name="Perf. Totale depuis 01/08" dataDxfId="58" dataCellStyle="Pourcentage"/>
    <tableColumn id="5" xr3:uid="{82D25A62-B214-4375-9482-FB0964047E05}" name="Volatilité annualisée depuis 01/08" dataDxfId="57" dataCellStyle="Pourcentage"/>
    <tableColumn id="6" xr3:uid="{50126AEE-2B56-4E96-8F89-0543D6AE55EE}" name="Max Drawdown depuis 01/08" dataDxfId="56" dataCellStyle="Pourcentage"/>
    <tableColumn id="7" xr3:uid="{C7FBA487-2B14-4978-B8CE-5ED99E976B6B}" name="Couple Rendement / Risque depuis 01/08" dataDxfId="55" dataCellStyle="Milliers"/>
    <tableColumn id="33" xr3:uid="{4C7E449C-B922-481E-B2B2-19EF199159D7}" name="Performance annualisée 10 ans" dataDxfId="54" dataCellStyle="Pourcentage"/>
    <tableColumn id="34" xr3:uid="{9082E674-B762-4408-A22E-9236CA4847FB}" name="Volatilité annualisée 10 ans" dataDxfId="53" dataCellStyle="Pourcentage"/>
    <tableColumn id="35" xr3:uid="{FF14084F-040A-4743-BB38-BF3013E96220}" name="Max Drawdown 10 ans" dataDxfId="52" dataCellStyle="Pourcentage"/>
    <tableColumn id="36" xr3:uid="{F8467B8B-062D-4A0E-8F3E-2E52654C6383}" name="Couple Rendement Risque 10 ans" dataDxfId="51" dataCellStyle="Milliers"/>
    <tableColumn id="8" xr3:uid="{354BA1CD-CB61-42A6-B157-4053323C8BFC}" name="Performance annualisée 5 ans" dataDxfId="50" dataCellStyle="Pourcentage"/>
    <tableColumn id="9" xr3:uid="{79D20DB0-9D05-4CD9-AC0F-C02A536C5B9B}" name="Volatilité annualisée 5 ans" dataDxfId="49" dataCellStyle="Pourcentage"/>
    <tableColumn id="10" xr3:uid="{C20ACBC0-7B9B-4236-A088-35587247C6B8}" name="Max Drawdown 5 ans" dataDxfId="48" dataCellStyle="Pourcentage"/>
    <tableColumn id="11" xr3:uid="{A2370D73-4154-4797-9A60-D45CADEDF658}" name="Couple Rendement Risque 5 ans" dataDxfId="47" dataCellStyle="Milliers"/>
    <tableColumn id="12" xr3:uid="{2A5C530E-0729-411F-9B98-0FB7F8B1267E}" name="Performance annualisée 3 ans" dataDxfId="46" dataCellStyle="Pourcentage"/>
    <tableColumn id="13" xr3:uid="{A55EA533-9132-406B-84EB-D87548F887C2}" name="Volatilité annualisée 3 ans" dataDxfId="45" dataCellStyle="Pourcentage"/>
    <tableColumn id="14" xr3:uid="{B6D1CA42-5E1E-4338-B1BB-A0758385D510}" name="Max Drawdown 3 ans" dataDxfId="44" dataCellStyle="Pourcentage"/>
    <tableColumn id="15" xr3:uid="{C2371E89-DB40-4CC9-8509-75FF3AD9AE29}" name="Couple Rendement Risque 3 ans" dataDxfId="43" dataCellStyle="Milliers"/>
    <tableColumn id="16" xr3:uid="{6FF810C0-0C9D-415F-AE79-4981876C37F9}" name="Performance annualisée 1 an" dataDxfId="42" dataCellStyle="Pourcentage"/>
    <tableColumn id="17" xr3:uid="{C99AD578-DE6C-49BF-9A2D-96E3B21C12CC}" name="Volatilité annualisée 1 an" dataDxfId="41" dataCellStyle="Pourcentage"/>
    <tableColumn id="18" xr3:uid="{A6A3D41A-C1E5-4278-A738-89041D7D7232}" name="Max Drawdown 1 an" dataDxfId="40" dataCellStyle="Pourcentage"/>
    <tableColumn id="19" xr3:uid="{48DC948A-B2F0-4BEF-A7B5-5196359F8AF4}" name="Couple Rendement Risque 1 an" dataDxfId="39" dataCellStyle="Milliers"/>
    <tableColumn id="20" xr3:uid="{C0A63EF2-96FF-4DB8-BE6E-AA0EBE54FB64}" name="Date de recommandation du fonds" dataDxfId="38" dataCellStyle="Milliers"/>
    <tableColumn id="24" xr3:uid="{8CAFA52D-B1A3-4524-918E-48F33C5A8E9D}" name="Article SFDR (6,8 ou 9)" dataDxfId="37" dataCellStyle="Milliers"/>
    <tableColumn id="26" xr3:uid="{4766FCE7-77AE-4FD6-885B-7E4E6D06FC91}" name="label ISR (oui/non)" dataDxfId="36" dataCellStyle="Milliers"/>
    <tableColumn id="25" xr3:uid="{635EC70A-DE28-4953-B6E6-50C397762017}" name="label Finansol (oui/non)" dataDxfId="35" dataCellStyle="Milliers"/>
    <tableColumn id="22" xr3:uid="{865586D3-DED3-4600-AA74-53C912B7CA72}" name="label Greenfin (oui/non)" dataDxfId="34" dataCellStyle="Milliers"/>
    <tableColumn id="23" xr3:uid="{4F01A678-8844-4614-AA93-12EEE098917F}" name="label CIES (oui/non)" dataDxfId="33" dataCellStyle="Milliers"/>
    <tableColumn id="27" xr3:uid="{9902A729-C9ED-483A-8581-14563015B15C}" name="label France Relance (oui/non)" dataDxfId="32" dataCellStyle="Milliers"/>
    <tableColumn id="28" xr3:uid="{133AA5FB-5DDD-4852-8BAF-C2C27568018C}" name="Type" dataDxfId="31" dataCellStyle="Milliers"/>
  </tableColumns>
  <tableStyleInfo name="Résultats Observatoir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206873C-BA19-431C-8AF9-F1FB391F2010}" name="Table1131417" displayName="Table1131417" ref="A3:AE18" totalsRowShown="0">
  <autoFilter ref="A3:AE18" xr:uid="{00000000-0009-0000-0100-000001000000}"/>
  <sortState xmlns:xlrd2="http://schemas.microsoft.com/office/spreadsheetml/2017/richdata2" ref="A4:AE18">
    <sortCondition ref="A3:A18"/>
  </sortState>
  <tableColumns count="31">
    <tableColumn id="1" xr3:uid="{196366B7-908C-43BF-9924-1C8FCF011B13}" name="Société" dataDxfId="30"/>
    <tableColumn id="2" xr3:uid="{5406F731-26B7-4AE0-9756-2D59C70C4A0E}" name="Nom du fonds" dataDxfId="29"/>
    <tableColumn id="3" xr3:uid="{C7391CAA-43A9-44C3-82AF-DABDDA86FF37}" name="Performance annualisée depuis 01/08" dataDxfId="28" dataCellStyle="Pourcentage"/>
    <tableColumn id="4" xr3:uid="{33B4DB93-F691-4DC2-A9C7-02CC7C607926}" name="Perf. Totale depuis 01/08" dataDxfId="27" dataCellStyle="Pourcentage"/>
    <tableColumn id="5" xr3:uid="{A346E217-B887-4A1D-B9E8-0825CDBB533D}" name="Volatilité annualisée depuis 01/08" dataDxfId="26" dataCellStyle="Pourcentage"/>
    <tableColumn id="6" xr3:uid="{D294ED18-2D18-4D0D-854C-8647BA82B4DA}" name="Max Drawdown depuis 01/08" dataDxfId="25" dataCellStyle="Pourcentage"/>
    <tableColumn id="7" xr3:uid="{D821484D-8E0D-4CEC-AB25-F8974B3F39B1}" name="Couple Rendement / Risque depuis 01/08" dataDxfId="24" dataCellStyle="Milliers"/>
    <tableColumn id="33" xr3:uid="{3CC06D02-319C-4788-A514-C00A976BD0A6}" name="Performance annualisée 10 ans" dataDxfId="23" dataCellStyle="Pourcentage"/>
    <tableColumn id="34" xr3:uid="{AC287F75-F7C5-4B62-B3D1-D7EEEB68444F}" name="Volatilité annualisée 10 ans" dataDxfId="22" dataCellStyle="Pourcentage"/>
    <tableColumn id="35" xr3:uid="{BACCD8B4-28CE-46AD-B0BB-D4AB280FE8E1}" name="Max Drawdown 10 ans" dataDxfId="21" dataCellStyle="Pourcentage"/>
    <tableColumn id="36" xr3:uid="{F5DD5B6C-3181-42DF-929A-049739529EAC}" name="Couple Rendement Risque 10 ans" dataDxfId="20" dataCellStyle="Milliers"/>
    <tableColumn id="8" xr3:uid="{A1402A24-B225-454F-BD22-4DC340EF2FEE}" name="Performance annualisée 5 ans" dataDxfId="19" dataCellStyle="Pourcentage"/>
    <tableColumn id="9" xr3:uid="{983A746D-6F46-43C7-806A-26D227952620}" name="Volatilité annualisée 5 ans" dataDxfId="18" dataCellStyle="Pourcentage"/>
    <tableColumn id="10" xr3:uid="{42598056-0245-4DB9-8EFF-F2C4481C2E14}" name="Max Drawdown 5 ans" dataDxfId="17" dataCellStyle="Pourcentage"/>
    <tableColumn id="11" xr3:uid="{D76B4C32-4A29-4519-8FE6-748C0B698D81}" name="Couple Rendement Risque 5 ans" dataDxfId="16" dataCellStyle="Milliers"/>
    <tableColumn id="12" xr3:uid="{F28E607D-8971-4B15-8CEF-1B844BFF6380}" name="Performance annualisée 3 ans" dataDxfId="15" dataCellStyle="Pourcentage"/>
    <tableColumn id="13" xr3:uid="{9B72312E-3F50-43B3-AC2A-7F03D6DF867F}" name="Volatilité annualisée 3 ans" dataDxfId="14" dataCellStyle="Pourcentage"/>
    <tableColumn id="14" xr3:uid="{EA501686-6675-4FDA-850A-39905D0E582E}" name="Max Drawdown 3 ans" dataDxfId="13" dataCellStyle="Pourcentage"/>
    <tableColumn id="15" xr3:uid="{39E4CDF1-CF7C-41A9-B434-BE88492510E8}" name="Couple Rendement Risque 3 ans" dataDxfId="12" dataCellStyle="Milliers"/>
    <tableColumn id="16" xr3:uid="{EF03CA80-0BA9-44DF-9EA9-4E8FE9C1ECEB}" name="Performance annualisée 1 an" dataDxfId="11" dataCellStyle="Pourcentage"/>
    <tableColumn id="17" xr3:uid="{E4A33B08-8661-418B-95D1-EE9B4345CD6C}" name="Volatilité annualisée 1 an" dataDxfId="10" dataCellStyle="Pourcentage"/>
    <tableColumn id="18" xr3:uid="{91805D74-741A-47AB-820C-F386E80EBA96}" name="Max Drawdown 1 an" dataDxfId="9" dataCellStyle="Pourcentage"/>
    <tableColumn id="19" xr3:uid="{D46BA78E-104B-4E5B-A31B-592A99B514EA}" name="Couple Rendement Risque 1 an" dataDxfId="8" dataCellStyle="Milliers"/>
    <tableColumn id="20" xr3:uid="{9EBAD345-39AD-40D2-9B96-F29B7C45407D}" name="Date de recommandation du fonds" dataDxfId="7" dataCellStyle="Milliers"/>
    <tableColumn id="24" xr3:uid="{8B014227-2B37-462A-BC71-4C538507C7B1}" name="Article SFDR (6,8 ou 9)" dataDxfId="6" dataCellStyle="Milliers"/>
    <tableColumn id="26" xr3:uid="{75EEB046-FEA1-4B07-AF36-D6C1F48E8688}" name="label ISR (oui/non)" dataDxfId="5" dataCellStyle="Milliers"/>
    <tableColumn id="25" xr3:uid="{C8194914-7C5B-47AF-AFFC-A05A695E44FA}" name="label Finansol (oui/non)" dataDxfId="4" dataCellStyle="Milliers"/>
    <tableColumn id="22" xr3:uid="{BC21E5B4-EEC1-47E1-A199-0A039A77841F}" name="label Greenfin (oui/non)" dataDxfId="3" dataCellStyle="Milliers"/>
    <tableColumn id="23" xr3:uid="{3E36CB49-B48C-4B53-B8E0-C8E79043B7A5}" name="label CIES (oui/non)" dataDxfId="2" dataCellStyle="Milliers"/>
    <tableColumn id="27" xr3:uid="{E36F97A4-2FE1-4C4B-8A20-23A6980A22AE}" name="label France Relance (oui/non)" dataDxfId="1" dataCellStyle="Milliers"/>
    <tableColumn id="28" xr3:uid="{0A3BFE26-6D85-4C8F-8741-03A219B29B51}" name="Type" dataDxfId="0" dataCellStyle="Milliers"/>
  </tableColumns>
  <tableStyleInfo name="Résultats Observatoir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10" displayName="Table10" ref="A3:AE22" totalsRowShown="0">
  <autoFilter ref="A3:AE22" xr:uid="{00000000-0009-0000-0100-00000A000000}"/>
  <sortState xmlns:xlrd2="http://schemas.microsoft.com/office/spreadsheetml/2017/richdata2" ref="A4:AE22">
    <sortCondition ref="A3:A22"/>
  </sortState>
  <tableColumns count="31">
    <tableColumn id="1" xr3:uid="{00000000-0010-0000-0100-000001000000}" name="Société"/>
    <tableColumn id="2" xr3:uid="{00000000-0010-0000-0100-000002000000}" name="Nom du fonds"/>
    <tableColumn id="3" xr3:uid="{00000000-0010-0000-0100-000003000000}" name="Performance annualisée depuis 01/08" dataDxfId="355"/>
    <tableColumn id="4" xr3:uid="{00000000-0010-0000-0100-000004000000}" name="Perf. Totale depuis 01/08" dataDxfId="354"/>
    <tableColumn id="5" xr3:uid="{00000000-0010-0000-0100-000005000000}" name="Volatilité annualisée depuis 01/08" dataDxfId="353"/>
    <tableColumn id="6" xr3:uid="{00000000-0010-0000-0100-000006000000}" name="Max Drawdown depuis 01/08" dataDxfId="352"/>
    <tableColumn id="7" xr3:uid="{00000000-0010-0000-0100-000007000000}" name="Couple Rendement / Risque depuis 01/08" dataDxfId="351"/>
    <tableColumn id="27" xr3:uid="{19102580-40F6-41F2-B22B-C758FF61759C}" name="Performance annualisée 10 ans" dataDxfId="350" dataCellStyle="Pourcentage"/>
    <tableColumn id="28" xr3:uid="{15C9ABD1-D5AC-4A50-8E75-5ED8370A4BC8}" name="Volatilité annualisée 10 ans" dataDxfId="349" dataCellStyle="Pourcentage"/>
    <tableColumn id="29" xr3:uid="{16D0A07C-4CB6-4E60-9983-63DD28BB6332}" name="Max Drawdown 10 ans" dataDxfId="348" dataCellStyle="Pourcentage"/>
    <tableColumn id="30" xr3:uid="{43A491B2-45AD-41F1-B17C-EB566ECD2D20}" name="Couple Rendement Risque 10 ans" dataDxfId="347" dataCellStyle="Milliers"/>
    <tableColumn id="8" xr3:uid="{00000000-0010-0000-0100-000008000000}" name="Performance annualisée 5 ans" dataDxfId="346"/>
    <tableColumn id="9" xr3:uid="{00000000-0010-0000-0100-000009000000}" name="Volatilité annualisée 5 ans" dataDxfId="345"/>
    <tableColumn id="10" xr3:uid="{00000000-0010-0000-0100-00000A000000}" name="Max Drawdown 5 ans" dataDxfId="344"/>
    <tableColumn id="11" xr3:uid="{00000000-0010-0000-0100-00000B000000}" name="Couple Rendement Risque 5 ans" dataDxfId="343"/>
    <tableColumn id="12" xr3:uid="{00000000-0010-0000-0100-00000C000000}" name="Performance annualisée 3 ans" dataDxfId="342"/>
    <tableColumn id="13" xr3:uid="{00000000-0010-0000-0100-00000D000000}" name="Volatilité annualisée 3 ans" dataDxfId="341"/>
    <tableColumn id="14" xr3:uid="{00000000-0010-0000-0100-00000E000000}" name="Max Drawdown 3 ans" dataDxfId="340"/>
    <tableColumn id="15" xr3:uid="{00000000-0010-0000-0100-00000F000000}" name="Couple Rendement Risque 3 ans" dataDxfId="339"/>
    <tableColumn id="16" xr3:uid="{00000000-0010-0000-0100-000010000000}" name="Performance annualisée 1 an" dataDxfId="338"/>
    <tableColumn id="17" xr3:uid="{00000000-0010-0000-0100-000011000000}" name="Volatilité annualisée 1 an" dataDxfId="337"/>
    <tableColumn id="18" xr3:uid="{00000000-0010-0000-0100-000012000000}" name="Max Drawdown 1 an" dataDxfId="336"/>
    <tableColumn id="19" xr3:uid="{00000000-0010-0000-0100-000013000000}" name="Couple Rendement Risque 1 an" dataDxfId="335"/>
    <tableColumn id="20" xr3:uid="{00000000-0010-0000-0100-000014000000}" name="Date de recommandation du fonds"/>
    <tableColumn id="24" xr3:uid="{C859B55E-D02A-483B-B25B-DB6278133A9D}" name="Article SFDR (6,8 ou 9)" dataDxfId="334" dataCellStyle="Milliers"/>
    <tableColumn id="26" xr3:uid="{E3E823E7-A393-4BE7-8230-3A9A7B70F5E5}" name="label ISR (oui/non)" dataDxfId="333" dataCellStyle="Milliers"/>
    <tableColumn id="25" xr3:uid="{A1EF47FB-89D5-44D3-ABFF-C0C46D662E61}" name="label Finansol (oui/non)" dataDxfId="332" dataCellStyle="Milliers"/>
    <tableColumn id="22" xr3:uid="{00000000-0010-0000-0100-000016000000}" name="label Greenfin (oui/non)" dataDxfId="331"/>
    <tableColumn id="23" xr3:uid="{00000000-0010-0000-0100-000017000000}" name="label CIES (oui/non)" dataDxfId="330"/>
    <tableColumn id="31" xr3:uid="{F515E1DB-EEC0-403C-86F3-FC60CE7547BD}" name="label France Relance (oui/non)" dataDxfId="329"/>
    <tableColumn id="32" xr3:uid="{94CF1068-14AD-4999-970A-FD84D0371AA2}" name="Type" dataDxfId="328"/>
  </tableColumns>
  <tableStyleInfo name="Résultats Observatoir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03" displayName="Table103" ref="A3:AE17" totalsRowShown="0">
  <autoFilter ref="A3:AE17" xr:uid="{00000000-0009-0000-0100-000002000000}"/>
  <sortState xmlns:xlrd2="http://schemas.microsoft.com/office/spreadsheetml/2017/richdata2" ref="A4:AE17">
    <sortCondition ref="A3:A17"/>
  </sortState>
  <tableColumns count="31">
    <tableColumn id="1" xr3:uid="{00000000-0010-0000-0200-000001000000}" name="Société"/>
    <tableColumn id="2" xr3:uid="{00000000-0010-0000-0200-000002000000}" name="Nom du fonds"/>
    <tableColumn id="3" xr3:uid="{00000000-0010-0000-0200-000003000000}" name="Performance annualisée depuis 01/08" dataDxfId="327"/>
    <tableColumn id="4" xr3:uid="{00000000-0010-0000-0200-000004000000}" name="Perf. Totale depuis 01/08" dataDxfId="326"/>
    <tableColumn id="5" xr3:uid="{00000000-0010-0000-0200-000005000000}" name="Volatilité annualisée depuis 01/08" dataDxfId="325"/>
    <tableColumn id="6" xr3:uid="{00000000-0010-0000-0200-000006000000}" name="Max Drawdown depuis 01/08" dataDxfId="324"/>
    <tableColumn id="7" xr3:uid="{00000000-0010-0000-0200-000007000000}" name="Couple Rendement / Risque depuis 01/08" dataDxfId="323" dataCellStyle="Milliers"/>
    <tableColumn id="27" xr3:uid="{7CCA36AF-7172-41C6-9D76-C50EEB663ECF}" name="Performance annualisée 10 ans" dataDxfId="322" dataCellStyle="Pourcentage"/>
    <tableColumn id="28" xr3:uid="{B0C70925-A42F-4E4D-AFE8-71B932D88676}" name="Volatilité annualisée 10 ans" dataDxfId="321" dataCellStyle="Pourcentage"/>
    <tableColumn id="29" xr3:uid="{88444871-F9BD-431F-93BC-881056819D0F}" name="Max Drawdown 10 ans" dataDxfId="320" dataCellStyle="Pourcentage"/>
    <tableColumn id="30" xr3:uid="{A478E01D-0E39-41D3-A9B0-C840297FAF0A}" name="Couple Rendement Risque 10 ans" dataDxfId="319" dataCellStyle="Milliers"/>
    <tableColumn id="8" xr3:uid="{00000000-0010-0000-0200-000008000000}" name="Performance annualisée 5 ans" dataDxfId="318"/>
    <tableColumn id="9" xr3:uid="{00000000-0010-0000-0200-000009000000}" name="Volatilité annualisée 5 ans" dataDxfId="317"/>
    <tableColumn id="10" xr3:uid="{00000000-0010-0000-0200-00000A000000}" name="Max Drawdown 5 ans" dataDxfId="316"/>
    <tableColumn id="11" xr3:uid="{00000000-0010-0000-0200-00000B000000}" name="Couple Rendement Risque 5 ans" dataDxfId="315" dataCellStyle="Milliers"/>
    <tableColumn id="12" xr3:uid="{00000000-0010-0000-0200-00000C000000}" name="Performance annualisée 3 ans" dataDxfId="314"/>
    <tableColumn id="13" xr3:uid="{00000000-0010-0000-0200-00000D000000}" name="Volatilité annualisée 3 ans" dataDxfId="313"/>
    <tableColumn id="14" xr3:uid="{00000000-0010-0000-0200-00000E000000}" name="Max Drawdown 3 ans" dataDxfId="312"/>
    <tableColumn id="15" xr3:uid="{00000000-0010-0000-0200-00000F000000}" name="Couple Rendement Risque 3 ans" dataDxfId="311" dataCellStyle="Milliers"/>
    <tableColumn id="16" xr3:uid="{00000000-0010-0000-0200-000010000000}" name="Performance annualisée 1 an" dataDxfId="310"/>
    <tableColumn id="17" xr3:uid="{00000000-0010-0000-0200-000011000000}" name="Volatilité annualisée 1 an" dataDxfId="309"/>
    <tableColumn id="18" xr3:uid="{00000000-0010-0000-0200-000012000000}" name="Max Drawdown 1 an" dataDxfId="308"/>
    <tableColumn id="19" xr3:uid="{00000000-0010-0000-0200-000013000000}" name="Couple Rendement Risque 1 an" dataDxfId="307" dataCellStyle="Milliers"/>
    <tableColumn id="20" xr3:uid="{00000000-0010-0000-0200-000014000000}" name="Date de recommandation du fonds"/>
    <tableColumn id="21" xr3:uid="{00000000-0010-0000-0200-000015000000}" name="Article SFDR (6,8 ou 9)"/>
    <tableColumn id="24" xr3:uid="{D8C4C7DD-5A56-494A-B481-7D2163AFB0C9}" name="label ISR (oui/non)" dataDxfId="306" dataCellStyle="Milliers"/>
    <tableColumn id="26" xr3:uid="{3E726AB6-BBFB-436C-971C-0350ACCA6D2B}" name="label Finansol (oui/non)" dataDxfId="305" dataCellStyle="Milliers"/>
    <tableColumn id="25" xr3:uid="{74264D28-F2D9-4C6C-AEB9-905E33F1FE38}" name="label Greenfin (oui/non)" dataDxfId="304" dataCellStyle="Milliers"/>
    <tableColumn id="22" xr3:uid="{00000000-0010-0000-0200-000016000000}" name="label CIES (oui/non)"/>
    <tableColumn id="23" xr3:uid="{00000000-0010-0000-0200-000017000000}" name="label France Relance (oui/non)"/>
    <tableColumn id="31" xr3:uid="{0729BF6F-3D24-4C91-91FA-FEF516491B06}" name="Type" dataDxfId="303"/>
  </tableColumns>
  <tableStyleInfo name="Résultats Observatoir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98B5740-0922-48BE-9A60-D295EDD9FE03}" name="Table915" displayName="Table915" ref="A3:AE13" totalsRowShown="0">
  <autoFilter ref="A3:AE13" xr:uid="{00000000-000C-0000-FFFF-FFFF04000000}"/>
  <sortState xmlns:xlrd2="http://schemas.microsoft.com/office/spreadsheetml/2017/richdata2" ref="A4:AE13">
    <sortCondition ref="A3:A13"/>
  </sortState>
  <tableColumns count="31">
    <tableColumn id="1" xr3:uid="{587BB7CE-E789-446F-94D3-E93DBF67E493}" name="Société" dataDxfId="302"/>
    <tableColumn id="2" xr3:uid="{80798120-E5A3-4CA4-AA30-9BB087F986AF}" name="Nom du fonds" dataDxfId="301"/>
    <tableColumn id="3" xr3:uid="{812A13D6-1FC0-4BAE-B441-D28497E933E7}" name="Performance annualisée depuis 01/08" dataDxfId="300" dataCellStyle="Pourcentage"/>
    <tableColumn id="4" xr3:uid="{53019F28-9876-4151-B5D9-A4B74A15D246}" name="Perf. Totale depuis 01/08" dataDxfId="299" dataCellStyle="Pourcentage"/>
    <tableColumn id="5" xr3:uid="{2957BF95-A8AC-417B-9F65-33212CA6D47C}" name="Volatilité annualisée depuis 01/08" dataDxfId="298" dataCellStyle="Pourcentage"/>
    <tableColumn id="6" xr3:uid="{3F081B13-3AFB-408C-A126-11C72480E2EC}" name="Max Drawdown depuis 01/08" dataDxfId="297" dataCellStyle="Pourcentage"/>
    <tableColumn id="7" xr3:uid="{CD0C30EB-A561-4B7E-A408-B80EBFAC7A43}" name="Couple Rendement / Risque depuis 01/08" dataDxfId="296" dataCellStyle="Milliers"/>
    <tableColumn id="33" xr3:uid="{65A51070-8BC3-4623-97BE-043D1A87C18F}" name="Performance annualisée 10 ans" dataDxfId="295" dataCellStyle="Milliers"/>
    <tableColumn id="34" xr3:uid="{887A238B-B2C4-42A2-B357-EC713CF0FFAD}" name="Volatilité annualisée 10 ans" dataDxfId="294" dataCellStyle="Pourcentage 2"/>
    <tableColumn id="35" xr3:uid="{C9B45D5C-B697-4D84-A001-4956364CBD11}" name="Max Drawdown 10 ans" dataDxfId="293" dataCellStyle="Milliers"/>
    <tableColumn id="36" xr3:uid="{5D0D8052-EB2D-4153-83AE-C22964CF70AE}" name="Couple Rendement Risque 10 ans" dataDxfId="292" dataCellStyle="Milliers"/>
    <tableColumn id="8" xr3:uid="{19CDCBAA-441A-4234-B534-FBC751E42103}" name="Performance annualisée 5 ans" dataDxfId="291" dataCellStyle="Pourcentage"/>
    <tableColumn id="9" xr3:uid="{CEE9F8B5-BB1E-4107-B54E-BCFFF233215D}" name="Volatilité annualisée 5 ans" dataDxfId="290" dataCellStyle="Pourcentage"/>
    <tableColumn id="10" xr3:uid="{DDBB5C2D-C5E4-49A1-AC91-1940CB532E2F}" name="Max Drawdown 5 ans" dataDxfId="289" dataCellStyle="Pourcentage"/>
    <tableColumn id="11" xr3:uid="{E1F47E56-58C5-4666-B9A1-A51496F516C9}" name="Couple Rendement Risque 5 ans" dataDxfId="288" dataCellStyle="Milliers"/>
    <tableColumn id="12" xr3:uid="{0E34D3F9-435B-4273-AC8E-841F6DD87129}" name="Performance annualisée 3 ans" dataDxfId="287" dataCellStyle="Pourcentage"/>
    <tableColumn id="13" xr3:uid="{17201341-1C23-4004-8A3F-50CF2D729570}" name="Volatilité annualisée 3 ans" dataDxfId="286" dataCellStyle="Pourcentage"/>
    <tableColumn id="14" xr3:uid="{23CB38A4-0888-4954-91B7-B3307E8BFF57}" name="Max Drawdown 3 ans" dataDxfId="285" dataCellStyle="Pourcentage"/>
    <tableColumn id="15" xr3:uid="{9C708367-D0EA-493C-87FD-3EADB6FF424F}" name="Couple Rendement Risque 3 ans" dataDxfId="284" dataCellStyle="Milliers"/>
    <tableColumn id="16" xr3:uid="{5F2A90DF-594D-4FCC-8790-B16B88F9A7DC}" name="Performance annualisée 1 an" dataDxfId="283" dataCellStyle="Pourcentage"/>
    <tableColumn id="17" xr3:uid="{2F060A5A-FA57-4611-8A61-DD553BAA27E8}" name="Volatilité annualisée 1 an" dataDxfId="282" dataCellStyle="Pourcentage"/>
    <tableColumn id="18" xr3:uid="{D1C2FAE1-008B-4B16-AB4F-7366D65EAC2B}" name="Max Drawdown 1 an" dataDxfId="281" dataCellStyle="Pourcentage"/>
    <tableColumn id="19" xr3:uid="{2F8672F3-A594-4449-A26F-C664A0574E13}" name="Couple Rendement Risque 1 an" dataDxfId="280" dataCellStyle="Milliers"/>
    <tableColumn id="20" xr3:uid="{07CFF76A-E813-4760-9293-96771EECA2B3}" name="Date de recommandation du fonds" dataDxfId="279" dataCellStyle="Milliers"/>
    <tableColumn id="30" xr3:uid="{1C9BAEE7-27CB-4EA6-B0C8-6A7390E09D45}" name="Article SFDR (6,8 ou 9)" dataDxfId="278" dataCellStyle="Milliers"/>
    <tableColumn id="32" xr3:uid="{DB5E7188-3B30-4541-BF5F-EA8CC083331F}" name="label ISR (oui/non)" dataDxfId="277" dataCellStyle="Milliers"/>
    <tableColumn id="31" xr3:uid="{304F9B42-E7EF-4EC6-A3C4-6EDC4DE3F0A0}" name="label Finansol (oui/non)" dataDxfId="276" dataCellStyle="Milliers"/>
    <tableColumn id="22" xr3:uid="{977F80B5-A63E-45D5-936E-F250F719DB75}" name="label Greenfin (oui/non)" dataDxfId="275" dataCellStyle="Milliers"/>
    <tableColumn id="23" xr3:uid="{C117A615-5801-4789-842C-F886694B5C1E}" name="label CIES (oui/non)" dataDxfId="274" dataCellStyle="Milliers"/>
    <tableColumn id="24" xr3:uid="{16B8B9D3-D265-4D72-9978-ECCD67D09497}" name="label France Relance (oui/non)" dataDxfId="273" dataCellStyle="Milliers"/>
    <tableColumn id="25" xr3:uid="{A19906DD-2854-49D9-AFAA-A09A90CD9087}" name="Type" dataDxfId="272" dataCellStyle="Milliers"/>
  </tableColumns>
  <tableStyleInfo name="Résultats Observatoir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e9" displayName="Table9" ref="A3:AE15" totalsRowShown="0">
  <autoFilter ref="A3:AE15" xr:uid="{00000000-000C-0000-FFFF-FFFF04000000}"/>
  <sortState xmlns:xlrd2="http://schemas.microsoft.com/office/spreadsheetml/2017/richdata2" ref="A4:AE15">
    <sortCondition ref="A3:A15"/>
  </sortState>
  <tableColumns count="31">
    <tableColumn id="1" xr3:uid="{00000000-0010-0000-0400-000001000000}" name="Société" dataDxfId="271"/>
    <tableColumn id="2" xr3:uid="{00000000-0010-0000-0400-000002000000}" name="Nom du fonds" dataDxfId="270"/>
    <tableColumn id="3" xr3:uid="{00000000-0010-0000-0400-000003000000}" name="Performance annualisée depuis 01/08" dataDxfId="269" dataCellStyle="Pourcentage"/>
    <tableColumn id="4" xr3:uid="{00000000-0010-0000-0400-000004000000}" name="Perf. Totale depuis 01/08" dataDxfId="268" dataCellStyle="Pourcentage"/>
    <tableColumn id="5" xr3:uid="{00000000-0010-0000-0400-000005000000}" name="Volatilité annualisée depuis 01/08" dataDxfId="267" dataCellStyle="Pourcentage"/>
    <tableColumn id="6" xr3:uid="{00000000-0010-0000-0400-000006000000}" name="Max Drawdown depuis 01/08" dataDxfId="266" dataCellStyle="Pourcentage"/>
    <tableColumn id="7" xr3:uid="{00000000-0010-0000-0400-000007000000}" name="Couple Rendement / Risque depuis 01/08" dataDxfId="265" dataCellStyle="Milliers"/>
    <tableColumn id="33" xr3:uid="{6BF3F9EB-6EAB-474F-AACC-C76F9A9DB758}" name="Performance annualisée 10 ans" dataDxfId="264" dataCellStyle="Milliers"/>
    <tableColumn id="34" xr3:uid="{2C81AF41-22B1-4DA7-A59F-3C5A278F7DE3}" name="Volatilité annualisée 10 ans" dataDxfId="263" dataCellStyle="Pourcentage 2"/>
    <tableColumn id="35" xr3:uid="{FA8EDDD2-495D-4B26-ADE4-8B1A4B4599CB}" name="Max Drawdown 10 ans" dataDxfId="262" dataCellStyle="Milliers"/>
    <tableColumn id="36" xr3:uid="{0122A0DA-07A9-4235-9A7F-B513DCC4DFEE}" name="Couple Rendement Risque 10 ans" dataDxfId="261" dataCellStyle="Milliers"/>
    <tableColumn id="8" xr3:uid="{00000000-0010-0000-0400-000008000000}" name="Performance annualisée 5 ans" dataDxfId="260" dataCellStyle="Pourcentage"/>
    <tableColumn id="9" xr3:uid="{00000000-0010-0000-0400-000009000000}" name="Volatilité annualisée 5 ans" dataDxfId="259" dataCellStyle="Pourcentage"/>
    <tableColumn id="10" xr3:uid="{00000000-0010-0000-0400-00000A000000}" name="Max Drawdown 5 ans" dataDxfId="258" dataCellStyle="Pourcentage"/>
    <tableColumn id="11" xr3:uid="{00000000-0010-0000-0400-00000B000000}" name="Couple Rendement Risque 5 ans" dataDxfId="257" dataCellStyle="Milliers"/>
    <tableColumn id="12" xr3:uid="{00000000-0010-0000-0400-00000C000000}" name="Performance annualisée 3 ans" dataDxfId="256" dataCellStyle="Pourcentage"/>
    <tableColumn id="13" xr3:uid="{00000000-0010-0000-0400-00000D000000}" name="Volatilité annualisée 3 ans" dataDxfId="255" dataCellStyle="Pourcentage"/>
    <tableColumn id="14" xr3:uid="{00000000-0010-0000-0400-00000E000000}" name="Max Drawdown 3 ans" dataDxfId="254" dataCellStyle="Pourcentage"/>
    <tableColumn id="15" xr3:uid="{00000000-0010-0000-0400-00000F000000}" name="Couple Rendement Risque 3 ans" dataDxfId="253" dataCellStyle="Milliers"/>
    <tableColumn id="16" xr3:uid="{00000000-0010-0000-0400-000010000000}" name="Performance annualisée 1 an" dataDxfId="252" dataCellStyle="Pourcentage"/>
    <tableColumn id="17" xr3:uid="{00000000-0010-0000-0400-000011000000}" name="Volatilité annualisée 1 an" dataDxfId="251" dataCellStyle="Pourcentage"/>
    <tableColumn id="18" xr3:uid="{00000000-0010-0000-0400-000012000000}" name="Max Drawdown 1 an" dataDxfId="250" dataCellStyle="Pourcentage"/>
    <tableColumn id="19" xr3:uid="{00000000-0010-0000-0400-000013000000}" name="Couple Rendement Risque 1 an" dataDxfId="249" dataCellStyle="Milliers"/>
    <tableColumn id="20" xr3:uid="{00000000-0010-0000-0400-000014000000}" name="Date de recommandation du fonds" dataDxfId="248" dataCellStyle="Milliers"/>
    <tableColumn id="30" xr3:uid="{41FD74C7-9EBA-4B5F-8DD2-7A508CCC0191}" name="Article SFDR (6,8 ou 9)" dataDxfId="247" dataCellStyle="Milliers"/>
    <tableColumn id="32" xr3:uid="{7A4F1790-E80A-48CA-8D29-A38987D1D83B}" name="label ISR (oui/non)" dataDxfId="246" dataCellStyle="Milliers"/>
    <tableColumn id="31" xr3:uid="{BF132337-9EF4-4CB2-95FB-A1B3414F5169}" name="label Finansol (oui/non)" dataDxfId="245" dataCellStyle="Milliers"/>
    <tableColumn id="22" xr3:uid="{00000000-0010-0000-0400-000016000000}" name="label Greenfin (oui/non)" dataDxfId="244" dataCellStyle="Milliers"/>
    <tableColumn id="23" xr3:uid="{00000000-0010-0000-0400-000017000000}" name="label CIES (oui/non)" dataDxfId="243" dataCellStyle="Milliers"/>
    <tableColumn id="24" xr3:uid="{4717B1E6-48AA-44B9-9889-C4065BB7CF79}" name="label France Relance (oui/non)" dataDxfId="242" dataCellStyle="Milliers"/>
    <tableColumn id="25" xr3:uid="{3FFBFDA8-9299-4178-BA2B-6CE94A8DE190}" name="Type" dataDxfId="241" dataCellStyle="Milliers"/>
  </tableColumns>
  <tableStyleInfo name="Résultats Observatoir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CC5841D-AB3C-4954-AB02-4001F2DB4944}" name="Table916" displayName="Table916" ref="A3:AE19" totalsRowShown="0">
  <autoFilter ref="A3:AE19" xr:uid="{00000000-000C-0000-FFFF-FFFF04000000}"/>
  <sortState xmlns:xlrd2="http://schemas.microsoft.com/office/spreadsheetml/2017/richdata2" ref="A4:AE19">
    <sortCondition ref="A3:A19"/>
  </sortState>
  <tableColumns count="31">
    <tableColumn id="1" xr3:uid="{B714F879-E637-4D9A-9BC2-269F66622E1D}" name="Société" dataDxfId="240"/>
    <tableColumn id="2" xr3:uid="{77664B07-A5C3-4125-83D8-ABE00E3A7BED}" name="Nom du fonds" dataDxfId="239"/>
    <tableColumn id="3" xr3:uid="{ACE68877-FA1A-40A1-8024-7B41B1C0FACB}" name="Performance annualisée depuis 01/08" dataDxfId="238" dataCellStyle="Pourcentage"/>
    <tableColumn id="4" xr3:uid="{A59C1551-C64F-44E5-BC69-13045C79D869}" name="Perf. Totale depuis 01/08" dataDxfId="237" dataCellStyle="Pourcentage"/>
    <tableColumn id="5" xr3:uid="{D7F82DBE-8506-4F7E-852B-7F3443F91C8F}" name="Volatilité annualisée depuis 01/08" dataDxfId="236" dataCellStyle="Pourcentage"/>
    <tableColumn id="6" xr3:uid="{680E45B5-4A7C-4C46-A4AA-AEB2FC7EB0D3}" name="Max Drawdown depuis 01/08" dataDxfId="235" dataCellStyle="Pourcentage"/>
    <tableColumn id="7" xr3:uid="{E6D6BBDC-AAE0-494D-B470-BA5D44A1ECFE}" name="Couple Rendement / Risque depuis 01/08" dataDxfId="234" dataCellStyle="Milliers"/>
    <tableColumn id="33" xr3:uid="{D27DE331-A15A-4561-8947-73A8E681CE2B}" name="Performance annualisée 10 ans" dataDxfId="233" dataCellStyle="Milliers"/>
    <tableColumn id="34" xr3:uid="{81BB396F-DC0C-4218-A703-DBB7B3B5BC3E}" name="Volatilité annualisée 10 ans" dataDxfId="232" dataCellStyle="Pourcentage 2"/>
    <tableColumn id="35" xr3:uid="{0AD5F860-8568-452E-A49E-53E78EB388D4}" name="Max Drawdown 10 ans" dataDxfId="231" dataCellStyle="Milliers"/>
    <tableColumn id="36" xr3:uid="{B0B7825D-C72D-49E2-AD89-06D6D8B1CE7C}" name="Couple Rendement Risque 10 ans" dataDxfId="230" dataCellStyle="Milliers"/>
    <tableColumn id="8" xr3:uid="{AE2DA483-FFCF-4D87-8CDF-B7C7E0F36C31}" name="Performance annualisée 5 ans" dataDxfId="229" dataCellStyle="Pourcentage"/>
    <tableColumn id="9" xr3:uid="{14204B44-B2D1-41DC-9A88-FE2DE5300643}" name="Volatilité annualisée 5 ans" dataDxfId="228" dataCellStyle="Pourcentage"/>
    <tableColumn id="10" xr3:uid="{A8B88694-C710-48D8-A0FF-3F88AB6F692C}" name="Max Drawdown 5 ans" dataDxfId="227" dataCellStyle="Pourcentage"/>
    <tableColumn id="11" xr3:uid="{DC74816A-486D-4487-A1B4-02B5ADEE7CE3}" name="Couple Rendement Risque 5 ans" dataDxfId="226" dataCellStyle="Milliers"/>
    <tableColumn id="12" xr3:uid="{241E7AB6-3F00-495D-B21A-247E565748FD}" name="Performance annualisée 3 ans" dataDxfId="225" dataCellStyle="Pourcentage"/>
    <tableColumn id="13" xr3:uid="{E24C8444-13CD-4091-8B6E-FB01B22F2B58}" name="Volatilité annualisée 3 ans" dataDxfId="224" dataCellStyle="Pourcentage"/>
    <tableColumn id="14" xr3:uid="{97CA93DC-BE2E-40C0-BDAD-9EC4B9B7A15F}" name="Max Drawdown 3 ans" dataDxfId="223" dataCellStyle="Pourcentage"/>
    <tableColumn id="15" xr3:uid="{D3F106BD-9347-468D-A615-023A04390418}" name="Couple Rendement Risque 3 ans" dataDxfId="222" dataCellStyle="Milliers"/>
    <tableColumn id="16" xr3:uid="{65EF5F8E-B1EF-4342-A099-4C2E8351B2A0}" name="Performance annualisée 1 an" dataDxfId="221" dataCellStyle="Pourcentage"/>
    <tableColumn id="17" xr3:uid="{EA60BF01-891E-4082-AA7D-64338F557F07}" name="Volatilité annualisée 1 an" dataDxfId="220" dataCellStyle="Pourcentage"/>
    <tableColumn id="18" xr3:uid="{BA8594AF-0590-46B4-BAD0-F92949A380A8}" name="Max Drawdown 1 an" dataDxfId="219" dataCellStyle="Pourcentage"/>
    <tableColumn id="19" xr3:uid="{B5F55ADA-7CFE-4FA3-B675-B08016AD887E}" name="Couple Rendement Risque 1 an" dataDxfId="218" dataCellStyle="Milliers"/>
    <tableColumn id="20" xr3:uid="{C971DE35-B049-41D2-B813-EF59AC247D03}" name="Date de recommandation du fonds" dataDxfId="217" dataCellStyle="Milliers"/>
    <tableColumn id="30" xr3:uid="{9963B56D-9379-46AE-89D7-BAB7DB5CAE92}" name="Article SFDR (6,8 ou 9)" dataDxfId="216" dataCellStyle="Milliers"/>
    <tableColumn id="32" xr3:uid="{C10D024D-011B-4E08-AF03-EE0DC81B9291}" name="label ISR (oui/non)" dataDxfId="215" dataCellStyle="Milliers"/>
    <tableColumn id="31" xr3:uid="{CACC1741-FD04-4377-BBE0-D5D38F761453}" name="label Finansol (oui/non)" dataDxfId="214" dataCellStyle="Milliers"/>
    <tableColumn id="22" xr3:uid="{43877DD9-6B2B-42D9-8545-66E932DF25D1}" name="label Greenfin (oui/non)" dataDxfId="213" dataCellStyle="Milliers"/>
    <tableColumn id="23" xr3:uid="{F2EA7860-8AA9-4ACE-BCD3-F45DA7C1BA8F}" name="label CIES (oui/non)" dataDxfId="212" dataCellStyle="Milliers"/>
    <tableColumn id="24" xr3:uid="{BF381D21-E9FA-4A75-B228-72D4A412891B}" name="label France Relance (oui/non)" dataDxfId="211" dataCellStyle="Milliers"/>
    <tableColumn id="25" xr3:uid="{B084B705-ED40-495C-A2A8-545F8A47B493}" name="Type" dataDxfId="210" dataCellStyle="Milliers"/>
  </tableColumns>
  <tableStyleInfo name="Résultats Observatoir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3" displayName="Table3" ref="A3:AE24" totalsRowShown="0">
  <autoFilter ref="A3:AE24" xr:uid="{00000000-0009-0000-0100-000003000000}"/>
  <sortState xmlns:xlrd2="http://schemas.microsoft.com/office/spreadsheetml/2017/richdata2" ref="A4:AE24">
    <sortCondition ref="A3:A24"/>
  </sortState>
  <tableColumns count="31">
    <tableColumn id="1" xr3:uid="{00000000-0010-0000-0700-000001000000}" name="Société"/>
    <tableColumn id="2" xr3:uid="{00000000-0010-0000-0700-000002000000}" name="Nom du fonds"/>
    <tableColumn id="3" xr3:uid="{00000000-0010-0000-0700-000003000000}" name="Performance annualisée depuis 01/08" dataDxfId="209"/>
    <tableColumn id="4" xr3:uid="{00000000-0010-0000-0700-000004000000}" name="Perf. Totale depuis 01/08" dataDxfId="208"/>
    <tableColumn id="5" xr3:uid="{00000000-0010-0000-0700-000005000000}" name="Volatilité annualisée depuis 01/08" dataDxfId="207"/>
    <tableColumn id="6" xr3:uid="{00000000-0010-0000-0700-000006000000}" name="Max Drawdown depuis 01/08" dataDxfId="206"/>
    <tableColumn id="7" xr3:uid="{00000000-0010-0000-0700-000007000000}" name="Couple Rendement / Risque depuis 01/08" dataDxfId="205"/>
    <tableColumn id="27" xr3:uid="{8CA9D944-3C49-4DF7-806D-63EA81A7D9A6}" name="Performance annualisée 10 ans" dataDxfId="204" dataCellStyle="Pourcentage"/>
    <tableColumn id="28" xr3:uid="{593CB7CB-9EAD-4EA3-8F43-9189B86DA76E}" name="Volatilité annualisée 10 ans" dataDxfId="203" dataCellStyle="Pourcentage"/>
    <tableColumn id="29" xr3:uid="{20FFC2B0-0573-4F72-B5D2-A0503BA26282}" name="Max Drawdown 10 ans" dataDxfId="202" dataCellStyle="Pourcentage"/>
    <tableColumn id="30" xr3:uid="{62BED5DF-0D2C-49E9-9772-386FB7CE60CB}" name="Couple Rendement Risque 10 ans" dataDxfId="201" dataCellStyle="Milliers"/>
    <tableColumn id="8" xr3:uid="{00000000-0010-0000-0700-000008000000}" name="Performance annualisée 5 ans" dataDxfId="200"/>
    <tableColumn id="9" xr3:uid="{00000000-0010-0000-0700-000009000000}" name="Volatilité annualisée 5 ans" dataDxfId="199"/>
    <tableColumn id="10" xr3:uid="{00000000-0010-0000-0700-00000A000000}" name="Max Drawdown 5 ans" dataDxfId="198"/>
    <tableColumn id="11" xr3:uid="{00000000-0010-0000-0700-00000B000000}" name="Couple Rendement Risque 5 ans" dataDxfId="197"/>
    <tableColumn id="12" xr3:uid="{00000000-0010-0000-0700-00000C000000}" name="Performance annualisée 3 ans" dataDxfId="196"/>
    <tableColumn id="13" xr3:uid="{00000000-0010-0000-0700-00000D000000}" name="Volatilité annualisée 3 ans" dataDxfId="195"/>
    <tableColumn id="14" xr3:uid="{00000000-0010-0000-0700-00000E000000}" name="Max Drawdown 3 ans" dataDxfId="194"/>
    <tableColumn id="15" xr3:uid="{00000000-0010-0000-0700-00000F000000}" name="Couple Rendement Risque 3 ans" dataDxfId="193"/>
    <tableColumn id="16" xr3:uid="{00000000-0010-0000-0700-000010000000}" name="Performance annualisée 1 an" dataDxfId="192"/>
    <tableColumn id="17" xr3:uid="{00000000-0010-0000-0700-000011000000}" name="Volatilité annualisée 1 an" dataDxfId="191"/>
    <tableColumn id="18" xr3:uid="{00000000-0010-0000-0700-000012000000}" name="Max Drawdown 1 an" dataDxfId="190"/>
    <tableColumn id="19" xr3:uid="{00000000-0010-0000-0700-000013000000}" name="Couple Rendement Risque 1 an" dataDxfId="189"/>
    <tableColumn id="20" xr3:uid="{00000000-0010-0000-0700-000014000000}" name="Date de recommandation du fonds"/>
    <tableColumn id="24" xr3:uid="{EB832D4F-3FA6-4327-A3B8-456513956D08}" name="Article SFDR (6,8 ou 9)" dataDxfId="188" dataCellStyle="Milliers"/>
    <tableColumn id="26" xr3:uid="{2B77FAE7-492A-40EC-B6E1-C84537531B5A}" name="label ISR (oui/non)" dataDxfId="187" dataCellStyle="Milliers"/>
    <tableColumn id="25" xr3:uid="{692D1084-F0FA-4334-A405-E776703631F5}" name="label Finansol (oui/non)" dataDxfId="186" dataCellStyle="Milliers"/>
    <tableColumn id="22" xr3:uid="{00000000-0010-0000-0700-000016000000}" name="label Greenfin (oui/non)"/>
    <tableColumn id="23" xr3:uid="{00000000-0010-0000-0700-000017000000}" name="label CIES (oui/non)"/>
    <tableColumn id="31" xr3:uid="{390A201B-42F5-430E-B7E9-BF95723BE3F8}" name="label France Relance (oui/non)" dataDxfId="185"/>
    <tableColumn id="32" xr3:uid="{A3E92A44-830F-4AE9-8DF6-CA1EAE875DC0}" name="Type" dataDxfId="184"/>
  </tableColumns>
  <tableStyleInfo name="Résultats Observatoir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8000000}" name="Table1" displayName="Table1" ref="A3:AE22" totalsRowShown="0">
  <autoFilter ref="A3:AE22" xr:uid="{00000000-0009-0000-0100-000001000000}"/>
  <sortState xmlns:xlrd2="http://schemas.microsoft.com/office/spreadsheetml/2017/richdata2" ref="A4:AE22">
    <sortCondition ref="A3:A22"/>
  </sortState>
  <tableColumns count="31">
    <tableColumn id="1" xr3:uid="{00000000-0010-0000-0800-000001000000}" name="Société" dataDxfId="183"/>
    <tableColumn id="2" xr3:uid="{00000000-0010-0000-0800-000002000000}" name="Nom du fonds" dataDxfId="182"/>
    <tableColumn id="3" xr3:uid="{00000000-0010-0000-0800-000003000000}" name="Performance annualisée depuis 01/08" dataDxfId="181" dataCellStyle="Pourcentage"/>
    <tableColumn id="4" xr3:uid="{00000000-0010-0000-0800-000004000000}" name="Perf. Totale depuis 01/08" dataDxfId="180" dataCellStyle="Pourcentage"/>
    <tableColumn id="5" xr3:uid="{00000000-0010-0000-0800-000005000000}" name="Volatilité annualisée depuis 01/08" dataDxfId="179" dataCellStyle="Pourcentage"/>
    <tableColumn id="6" xr3:uid="{00000000-0010-0000-0800-000006000000}" name="Max Drawdown depuis 01/08" dataDxfId="178" dataCellStyle="Pourcentage"/>
    <tableColumn id="7" xr3:uid="{00000000-0010-0000-0800-000007000000}" name="Couple Rendement / Risque depuis 01/08" dataDxfId="177" dataCellStyle="Milliers"/>
    <tableColumn id="33" xr3:uid="{0085BCA8-C4B5-4BBE-9FAE-D13E755784E3}" name="Performance annualisée 10 ans" dataDxfId="176" dataCellStyle="Pourcentage"/>
    <tableColumn id="34" xr3:uid="{E872078A-993B-45F7-9BFA-6FF08706B9FB}" name="Volatilité annualisée 10 ans" dataDxfId="175" dataCellStyle="Pourcentage"/>
    <tableColumn id="35" xr3:uid="{C4188FA8-25C9-4818-8AF5-1EA1EF709942}" name="Max Drawdown 10 ans" dataDxfId="174" dataCellStyle="Pourcentage"/>
    <tableColumn id="36" xr3:uid="{210EE325-7759-4A01-B826-AB046B458BBA}" name="Couple Rendement Risque 10 ans" dataDxfId="173" dataCellStyle="Milliers"/>
    <tableColumn id="8" xr3:uid="{00000000-0010-0000-0800-000008000000}" name="Performance annualisée 5 ans" dataDxfId="172" dataCellStyle="Pourcentage"/>
    <tableColumn id="9" xr3:uid="{00000000-0010-0000-0800-000009000000}" name="Volatilité annualisée 5 ans" dataDxfId="171" dataCellStyle="Pourcentage"/>
    <tableColumn id="10" xr3:uid="{00000000-0010-0000-0800-00000A000000}" name="Max Drawdown 5 ans" dataDxfId="170" dataCellStyle="Pourcentage"/>
    <tableColumn id="11" xr3:uid="{00000000-0010-0000-0800-00000B000000}" name="Couple Rendement Risque 5 ans" dataDxfId="169" dataCellStyle="Milliers"/>
    <tableColumn id="12" xr3:uid="{00000000-0010-0000-0800-00000C000000}" name="Performance annualisée 3 ans" dataDxfId="168" dataCellStyle="Pourcentage"/>
    <tableColumn id="13" xr3:uid="{00000000-0010-0000-0800-00000D000000}" name="Volatilité annualisée 3 ans" dataDxfId="167" dataCellStyle="Pourcentage"/>
    <tableColumn id="14" xr3:uid="{00000000-0010-0000-0800-00000E000000}" name="Max Drawdown 3 ans" dataDxfId="166" dataCellStyle="Pourcentage"/>
    <tableColumn id="15" xr3:uid="{00000000-0010-0000-0800-00000F000000}" name="Couple Rendement Risque 3 ans" dataDxfId="165" dataCellStyle="Milliers"/>
    <tableColumn id="16" xr3:uid="{00000000-0010-0000-0800-000010000000}" name="Performance annualisée 1 an" dataDxfId="164" dataCellStyle="Pourcentage"/>
    <tableColumn id="17" xr3:uid="{00000000-0010-0000-0800-000011000000}" name="Volatilité annualisée 1 an" dataDxfId="163" dataCellStyle="Pourcentage"/>
    <tableColumn id="18" xr3:uid="{00000000-0010-0000-0800-000012000000}" name="Max Drawdown 1 an" dataDxfId="162" dataCellStyle="Pourcentage"/>
    <tableColumn id="19" xr3:uid="{00000000-0010-0000-0800-000013000000}" name="Couple Rendement Risque 1 an" dataDxfId="161" dataCellStyle="Milliers"/>
    <tableColumn id="20" xr3:uid="{00000000-0010-0000-0800-000014000000}" name="Date de recommandation du fonds" dataDxfId="160" dataCellStyle="Milliers"/>
    <tableColumn id="24" xr3:uid="{0188EDD4-915E-48E8-A6AB-6A144A7CDC60}" name="Article SFDR (6,8 ou 9)" dataDxfId="159" dataCellStyle="Milliers"/>
    <tableColumn id="26" xr3:uid="{363A5316-C8A1-478D-B339-F265A93248F1}" name="label ISR (oui/non)" dataDxfId="158" dataCellStyle="Milliers"/>
    <tableColumn id="25" xr3:uid="{963724BC-9186-49F1-8874-9CC1409AA107}" name="label Finansol (oui/non)" dataDxfId="157" dataCellStyle="Milliers"/>
    <tableColumn id="22" xr3:uid="{00000000-0010-0000-0800-000016000000}" name="label Greenfin (oui/non)" dataDxfId="156" dataCellStyle="Milliers"/>
    <tableColumn id="23" xr3:uid="{00000000-0010-0000-0800-000017000000}" name="label CIES (oui/non)" dataDxfId="155" dataCellStyle="Milliers"/>
    <tableColumn id="27" xr3:uid="{46C9955C-9682-4B92-9D35-96436E776708}" name="label France Relance (oui/non)" dataDxfId="154" dataCellStyle="Milliers"/>
    <tableColumn id="28" xr3:uid="{6364C216-4538-4D23-BD5F-14A74A48556F}" name="Type" dataDxfId="153" dataCellStyle="Milliers"/>
  </tableColumns>
  <tableStyleInfo name="Résultats Observatoir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4" displayName="Table4" ref="S20:S30" totalsRowShown="0" headerRowDxfId="152" dataDxfId="151">
  <tableColumns count="1">
    <tableColumn id="1" xr3:uid="{00000000-0010-0000-0900-000001000000}" name="Colonne1" dataDxfId="150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8000"/>
    <pageSetUpPr fitToPage="1"/>
  </sheetPr>
  <dimension ref="A1:AF43"/>
  <sheetViews>
    <sheetView showGridLines="0" zoomScale="80" zoomScaleNormal="80" workbookViewId="0">
      <pane xSplit="1" topLeftCell="B1" activePane="topRight" state="frozenSplit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4" width="13.08203125" style="2" customWidth="1"/>
    <col min="25" max="30" width="13.08203125" style="5" customWidth="1"/>
    <col min="31" max="31" width="10.58203125" style="5"/>
    <col min="32" max="16384" width="10.58203125" style="2"/>
  </cols>
  <sheetData>
    <row r="1" spans="1:32" s="8" customFormat="1" ht="21" x14ac:dyDescent="0.35">
      <c r="A1" s="1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60"/>
      <c r="Z1" s="60"/>
      <c r="AA1" s="60"/>
      <c r="AB1" s="60"/>
      <c r="AC1" s="60"/>
      <c r="AD1" s="60"/>
      <c r="AE1" s="60"/>
    </row>
    <row r="2" spans="1:32" s="1" customFormat="1" ht="21" x14ac:dyDescent="0.5">
      <c r="A2" s="17" t="s">
        <v>15</v>
      </c>
      <c r="B2" s="19" t="s">
        <v>16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61"/>
    </row>
    <row r="3" spans="1:32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45" t="s">
        <v>140</v>
      </c>
      <c r="Z3" s="46" t="s">
        <v>141</v>
      </c>
      <c r="AA3" s="46" t="s">
        <v>142</v>
      </c>
      <c r="AB3" s="46" t="s">
        <v>143</v>
      </c>
      <c r="AC3" s="46" t="s">
        <v>144</v>
      </c>
      <c r="AD3" s="46" t="s">
        <v>145</v>
      </c>
      <c r="AE3" s="45" t="s">
        <v>9</v>
      </c>
    </row>
    <row r="4" spans="1:32" s="8" customFormat="1" ht="21.75" customHeight="1" x14ac:dyDescent="0.35">
      <c r="A4" s="12" t="s">
        <v>47</v>
      </c>
      <c r="B4" s="13" t="s">
        <v>51</v>
      </c>
      <c r="C4" s="21">
        <v>8.4873198073935896E-3</v>
      </c>
      <c r="D4" s="21">
        <v>0.16432166976375751</v>
      </c>
      <c r="E4" s="21">
        <v>1.2813658699343357E-3</v>
      </c>
      <c r="F4" s="21">
        <v>2.1722382246511702E-2</v>
      </c>
      <c r="G4" s="57">
        <v>6.623650595460707</v>
      </c>
      <c r="H4" s="21">
        <v>7.3994349757999789E-3</v>
      </c>
      <c r="I4" s="21">
        <v>1.478874831291829E-3</v>
      </c>
      <c r="J4" s="21">
        <v>2.1722382246511702E-2</v>
      </c>
      <c r="K4" s="57">
        <v>5.0034220741564805</v>
      </c>
      <c r="L4" s="21">
        <v>1.7478562715831814E-2</v>
      </c>
      <c r="M4" s="21">
        <v>1.8044994774091309E-3</v>
      </c>
      <c r="N4" s="21">
        <v>9.0113399961550458E-3</v>
      </c>
      <c r="O4" s="57">
        <v>9.6861001816011782</v>
      </c>
      <c r="P4" s="21">
        <v>3.1267814593502807E-2</v>
      </c>
      <c r="Q4" s="21">
        <v>1.5099167905591473E-3</v>
      </c>
      <c r="R4" s="21">
        <v>1.6470864835183111E-4</v>
      </c>
      <c r="S4" s="57">
        <v>20.708303125713183</v>
      </c>
      <c r="T4" s="21">
        <v>2.3182168880777176E-2</v>
      </c>
      <c r="U4" s="21">
        <v>9.8059311301147397E-4</v>
      </c>
      <c r="V4" s="21">
        <v>1.5532578725625415E-5</v>
      </c>
      <c r="W4" s="57">
        <v>23.640966444872351</v>
      </c>
      <c r="X4" s="31">
        <v>41640</v>
      </c>
      <c r="Y4" s="33">
        <v>8</v>
      </c>
      <c r="Z4" s="33" t="s">
        <v>113</v>
      </c>
      <c r="AA4" s="33" t="s">
        <v>112</v>
      </c>
      <c r="AB4" s="33" t="s">
        <v>114</v>
      </c>
      <c r="AC4" s="33" t="s">
        <v>114</v>
      </c>
      <c r="AD4" s="33" t="s">
        <v>112</v>
      </c>
      <c r="AE4" s="33" t="s">
        <v>29</v>
      </c>
      <c r="AF4" s="8" t="s">
        <v>112</v>
      </c>
    </row>
    <row r="5" spans="1:32" s="8" customFormat="1" ht="21.75" customHeight="1" x14ac:dyDescent="0.35">
      <c r="A5" s="12" t="s">
        <v>250</v>
      </c>
      <c r="B5" s="13" t="s">
        <v>251</v>
      </c>
      <c r="C5" s="21">
        <v>7.5910443819302564E-3</v>
      </c>
      <c r="D5" s="21">
        <v>0.14583444592790396</v>
      </c>
      <c r="E5" s="21">
        <v>1.6204329389068986E-3</v>
      </c>
      <c r="F5" s="21">
        <v>2.3595972483956697E-2</v>
      </c>
      <c r="G5" s="57">
        <v>4.6845779295568848</v>
      </c>
      <c r="H5" s="21">
        <v>7.8182811200111502E-3</v>
      </c>
      <c r="I5" s="21">
        <v>1.2458110644586377E-3</v>
      </c>
      <c r="J5" s="21">
        <v>2.325161539527322E-2</v>
      </c>
      <c r="K5" s="57">
        <v>6.2756555492694659</v>
      </c>
      <c r="L5" s="21">
        <v>1.8570980971112983E-2</v>
      </c>
      <c r="M5" s="21">
        <v>1.4536863963537754E-3</v>
      </c>
      <c r="N5" s="21">
        <v>9.3765569044588441E-3</v>
      </c>
      <c r="O5" s="57">
        <v>12.775094420429225</v>
      </c>
      <c r="P5" s="21">
        <v>3.3146740602331359E-2</v>
      </c>
      <c r="Q5" s="21">
        <v>1.2740882743472878E-3</v>
      </c>
      <c r="R5" s="21">
        <v>1.5798412259531095E-5</v>
      </c>
      <c r="S5" s="57">
        <v>26.01604713716744</v>
      </c>
      <c r="T5" s="21">
        <v>2.4736749865049923E-2</v>
      </c>
      <c r="U5" s="21">
        <v>9.5646787425144545E-4</v>
      </c>
      <c r="V5" s="21">
        <v>1.5798412259531095E-5</v>
      </c>
      <c r="W5" s="57">
        <v>25.862603994315535</v>
      </c>
      <c r="X5" s="31">
        <v>41640</v>
      </c>
      <c r="Y5" s="33">
        <v>8</v>
      </c>
      <c r="Z5" s="33" t="s">
        <v>113</v>
      </c>
      <c r="AA5" s="33" t="s">
        <v>114</v>
      </c>
      <c r="AB5" s="33" t="s">
        <v>114</v>
      </c>
      <c r="AC5" s="33" t="s">
        <v>113</v>
      </c>
      <c r="AD5" s="33" t="s">
        <v>114</v>
      </c>
      <c r="AE5" s="33" t="s">
        <v>31</v>
      </c>
    </row>
    <row r="6" spans="1:32" s="8" customFormat="1" ht="21.75" customHeight="1" x14ac:dyDescent="0.35">
      <c r="A6" s="12" t="s">
        <v>27</v>
      </c>
      <c r="B6" s="13" t="s">
        <v>28</v>
      </c>
      <c r="C6" s="21">
        <v>8.6850730783503138E-3</v>
      </c>
      <c r="D6" s="21">
        <v>0.16843843234944833</v>
      </c>
      <c r="E6" s="21">
        <v>1.123363897574067E-3</v>
      </c>
      <c r="F6" s="21">
        <v>2.2861468584405787E-2</v>
      </c>
      <c r="G6" s="57">
        <v>7.7313087033560102</v>
      </c>
      <c r="H6" s="21">
        <v>7.518144051418707E-3</v>
      </c>
      <c r="I6" s="21">
        <v>1.1875132366767069E-3</v>
      </c>
      <c r="J6" s="21">
        <v>2.2861468584405787E-2</v>
      </c>
      <c r="K6" s="57">
        <v>6.3309981052998356</v>
      </c>
      <c r="L6" s="21">
        <v>1.7809481589915022E-2</v>
      </c>
      <c r="M6" s="21">
        <v>1.4006274767043257E-3</v>
      </c>
      <c r="N6" s="21">
        <v>9.6938407105206289E-3</v>
      </c>
      <c r="O6" s="57">
        <v>12.715359284412086</v>
      </c>
      <c r="P6" s="21">
        <v>3.2052983786568401E-2</v>
      </c>
      <c r="Q6" s="21">
        <v>1.0629336240609928E-3</v>
      </c>
      <c r="R6" s="21">
        <v>0</v>
      </c>
      <c r="S6" s="57">
        <v>30.155207306462206</v>
      </c>
      <c r="T6" s="21">
        <v>2.3511662563005631E-2</v>
      </c>
      <c r="U6" s="21">
        <v>7.0460789132781689E-4</v>
      </c>
      <c r="V6" s="21">
        <v>0</v>
      </c>
      <c r="W6" s="57">
        <v>33.368434915905439</v>
      </c>
      <c r="X6" s="31">
        <v>41640</v>
      </c>
      <c r="Y6" s="33">
        <v>8</v>
      </c>
      <c r="Z6" s="33" t="s">
        <v>114</v>
      </c>
      <c r="AA6" s="33" t="s">
        <v>114</v>
      </c>
      <c r="AB6" s="33" t="s">
        <v>114</v>
      </c>
      <c r="AC6" s="33" t="s">
        <v>114</v>
      </c>
      <c r="AD6" s="33" t="s">
        <v>114</v>
      </c>
      <c r="AE6" s="33" t="s">
        <v>31</v>
      </c>
    </row>
    <row r="7" spans="1:32" s="8" customFormat="1" ht="21.75" customHeight="1" x14ac:dyDescent="0.35">
      <c r="A7" s="12" t="s">
        <v>262</v>
      </c>
      <c r="B7" s="13" t="s">
        <v>263</v>
      </c>
      <c r="C7" s="14" t="s">
        <v>112</v>
      </c>
      <c r="D7" s="14" t="s">
        <v>112</v>
      </c>
      <c r="E7" s="14" t="s">
        <v>112</v>
      </c>
      <c r="F7" s="14" t="s">
        <v>112</v>
      </c>
      <c r="G7" s="58" t="s">
        <v>112</v>
      </c>
      <c r="H7" s="14" t="s">
        <v>112</v>
      </c>
      <c r="I7" s="14" t="s">
        <v>112</v>
      </c>
      <c r="J7" s="14" t="s">
        <v>112</v>
      </c>
      <c r="K7" s="58" t="s">
        <v>112</v>
      </c>
      <c r="L7" s="14">
        <v>1.8718042989235073E-2</v>
      </c>
      <c r="M7" s="14">
        <v>1.3774901282766169E-3</v>
      </c>
      <c r="N7" s="14">
        <v>7.6916206544274824E-3</v>
      </c>
      <c r="O7" s="58">
        <v>13.588513343941919</v>
      </c>
      <c r="P7" s="14">
        <v>3.2797942617485809E-2</v>
      </c>
      <c r="Q7" s="14">
        <v>1.0095545628660541E-3</v>
      </c>
      <c r="R7" s="14">
        <v>1.2915584445929152E-4</v>
      </c>
      <c r="S7" s="58">
        <v>32.487538389579228</v>
      </c>
      <c r="T7" s="14">
        <v>2.4230716938170138E-2</v>
      </c>
      <c r="U7" s="14">
        <v>6.963205996665915E-4</v>
      </c>
      <c r="V7" s="14">
        <v>0</v>
      </c>
      <c r="W7" s="58">
        <v>34.798219311294481</v>
      </c>
      <c r="X7" s="31">
        <v>46022</v>
      </c>
      <c r="Y7" s="33">
        <v>8</v>
      </c>
      <c r="Z7" s="33" t="s">
        <v>32</v>
      </c>
      <c r="AA7" s="33" t="s">
        <v>32</v>
      </c>
      <c r="AB7" s="33" t="s">
        <v>32</v>
      </c>
      <c r="AC7" s="62" t="s">
        <v>32</v>
      </c>
      <c r="AD7" s="62" t="s">
        <v>32</v>
      </c>
      <c r="AE7" s="33" t="s">
        <v>33</v>
      </c>
    </row>
    <row r="8" spans="1:32" s="8" customFormat="1" ht="21.75" customHeight="1" x14ac:dyDescent="0.35">
      <c r="A8" s="12" t="s">
        <v>138</v>
      </c>
      <c r="B8" s="13" t="s">
        <v>52</v>
      </c>
      <c r="C8" s="21">
        <v>9.6790155416381918E-3</v>
      </c>
      <c r="D8" s="21">
        <v>0.1893390316157546</v>
      </c>
      <c r="E8" s="21">
        <v>1.723786021527384E-3</v>
      </c>
      <c r="F8" s="21">
        <v>1.8444002360011404E-2</v>
      </c>
      <c r="G8" s="57">
        <v>5.6149750727540813</v>
      </c>
      <c r="H8" s="21">
        <v>8.0382220469734644E-3</v>
      </c>
      <c r="I8" s="21">
        <v>1.2418594102792113E-3</v>
      </c>
      <c r="J8" s="21">
        <v>1.8444002360011404E-2</v>
      </c>
      <c r="K8" s="57">
        <v>6.4727311162913397</v>
      </c>
      <c r="L8" s="21">
        <v>1.8171147908599306E-2</v>
      </c>
      <c r="M8" s="21">
        <v>1.5029990936515031E-3</v>
      </c>
      <c r="N8" s="21">
        <v>8.4097141983963883E-3</v>
      </c>
      <c r="O8" s="57">
        <v>12.089926058739598</v>
      </c>
      <c r="P8" s="21">
        <v>3.2096317859855672E-2</v>
      </c>
      <c r="Q8" s="21">
        <v>1.2995250136466244E-3</v>
      </c>
      <c r="R8" s="21">
        <v>3.8441595594420036E-5</v>
      </c>
      <c r="S8" s="57">
        <v>24.698499469271102</v>
      </c>
      <c r="T8" s="21">
        <v>2.3627007926379617E-2</v>
      </c>
      <c r="U8" s="21">
        <v>8.268938260265965E-4</v>
      </c>
      <c r="V8" s="21">
        <v>0</v>
      </c>
      <c r="W8" s="57">
        <v>28.573206356990831</v>
      </c>
      <c r="X8" s="31">
        <v>41640</v>
      </c>
      <c r="Y8" s="33">
        <v>8</v>
      </c>
      <c r="Z8" s="33" t="s">
        <v>113</v>
      </c>
      <c r="AA8" s="33" t="s">
        <v>114</v>
      </c>
      <c r="AB8" s="33" t="s">
        <v>114</v>
      </c>
      <c r="AC8" s="33" t="s">
        <v>114</v>
      </c>
      <c r="AD8" s="33" t="s">
        <v>114</v>
      </c>
      <c r="AE8" s="33" t="s">
        <v>31</v>
      </c>
    </row>
    <row r="9" spans="1:32" s="8" customFormat="1" ht="21.75" customHeight="1" x14ac:dyDescent="0.35">
      <c r="A9" s="12" t="s">
        <v>156</v>
      </c>
      <c r="B9" s="13" t="s">
        <v>217</v>
      </c>
      <c r="C9" s="14" t="s">
        <v>112</v>
      </c>
      <c r="D9" s="14" t="s">
        <v>112</v>
      </c>
      <c r="E9" s="14" t="s">
        <v>112</v>
      </c>
      <c r="F9" s="14" t="s">
        <v>112</v>
      </c>
      <c r="G9" s="57" t="s">
        <v>112</v>
      </c>
      <c r="H9" s="14" t="s">
        <v>112</v>
      </c>
      <c r="I9" s="14" t="s">
        <v>112</v>
      </c>
      <c r="J9" s="14" t="s">
        <v>112</v>
      </c>
      <c r="K9" s="57" t="s">
        <v>112</v>
      </c>
      <c r="L9" s="14">
        <v>1.6334253707694701E-2</v>
      </c>
      <c r="M9" s="14">
        <v>1.6385501674660737E-3</v>
      </c>
      <c r="N9" s="14">
        <v>1.1666636184251943E-2</v>
      </c>
      <c r="O9" s="57">
        <v>9.968723589925057</v>
      </c>
      <c r="P9" s="14">
        <v>3.034698317765927E-2</v>
      </c>
      <c r="Q9" s="14">
        <v>1.5355277313073164E-3</v>
      </c>
      <c r="R9" s="14">
        <v>2.6539982483564212E-5</v>
      </c>
      <c r="S9" s="57">
        <v>19.763227038447869</v>
      </c>
      <c r="T9" s="14">
        <v>2.179079701247888E-2</v>
      </c>
      <c r="U9" s="14">
        <v>1.0830706964690721E-3</v>
      </c>
      <c r="V9" s="14">
        <v>0</v>
      </c>
      <c r="W9" s="57">
        <v>20.119459499291452</v>
      </c>
      <c r="X9" s="31" t="s">
        <v>112</v>
      </c>
      <c r="Y9" s="33" t="s">
        <v>112</v>
      </c>
      <c r="Z9" s="33" t="s">
        <v>112</v>
      </c>
      <c r="AA9" s="33" t="s">
        <v>112</v>
      </c>
      <c r="AB9" s="33" t="s">
        <v>112</v>
      </c>
      <c r="AC9" s="33" t="s">
        <v>112</v>
      </c>
      <c r="AD9" s="33" t="s">
        <v>112</v>
      </c>
      <c r="AE9" s="33" t="s">
        <v>112</v>
      </c>
    </row>
    <row r="10" spans="1:32" s="8" customFormat="1" ht="21.75" customHeight="1" x14ac:dyDescent="0.35">
      <c r="A10" s="12" t="s">
        <v>48</v>
      </c>
      <c r="B10" s="13" t="s">
        <v>115</v>
      </c>
      <c r="C10" s="14">
        <v>4.9686239019615108E-3</v>
      </c>
      <c r="D10" s="14">
        <v>9.2179999999999929E-2</v>
      </c>
      <c r="E10" s="14">
        <v>4.3918548432323274E-3</v>
      </c>
      <c r="F10" s="14">
        <v>4.2919484007097448E-2</v>
      </c>
      <c r="G10" s="57">
        <v>1.1313269858219384</v>
      </c>
      <c r="H10" s="14">
        <v>4.6848890229218565E-3</v>
      </c>
      <c r="I10" s="14">
        <v>5.9592425151621369E-3</v>
      </c>
      <c r="J10" s="14">
        <v>4.259810035498425E-2</v>
      </c>
      <c r="K10" s="57">
        <v>0.78615512139371146</v>
      </c>
      <c r="L10" s="14">
        <v>1.5490878418796816E-2</v>
      </c>
      <c r="M10" s="14">
        <v>8.7193583422120746E-3</v>
      </c>
      <c r="N10" s="14">
        <v>1.4802194681835251E-2</v>
      </c>
      <c r="O10" s="57">
        <v>1.7766076138656355</v>
      </c>
      <c r="P10" s="14">
        <v>2.9664167709850364E-2</v>
      </c>
      <c r="Q10" s="14">
        <v>1.0742070985988788E-2</v>
      </c>
      <c r="R10" s="14">
        <v>1.4802194681835251E-2</v>
      </c>
      <c r="S10" s="57">
        <v>2.7614942917936629</v>
      </c>
      <c r="T10" s="14">
        <v>2.1494102932615888E-2</v>
      </c>
      <c r="U10" s="14">
        <v>2.0811528701796232E-2</v>
      </c>
      <c r="V10" s="14">
        <v>1.4802194681835251E-2</v>
      </c>
      <c r="W10" s="57">
        <v>1.0327978900829493</v>
      </c>
      <c r="X10" s="31">
        <v>45291</v>
      </c>
      <c r="Y10" s="33">
        <v>8</v>
      </c>
      <c r="Z10" s="33" t="s">
        <v>114</v>
      </c>
      <c r="AA10" s="33" t="s">
        <v>112</v>
      </c>
      <c r="AB10" s="33" t="s">
        <v>114</v>
      </c>
      <c r="AC10" s="33" t="s">
        <v>114</v>
      </c>
      <c r="AD10" s="33" t="s">
        <v>112</v>
      </c>
      <c r="AE10" s="33" t="s">
        <v>33</v>
      </c>
    </row>
    <row r="11" spans="1:32" s="8" customFormat="1" ht="21.75" customHeight="1" x14ac:dyDescent="0.35">
      <c r="A11" s="12" t="s">
        <v>49</v>
      </c>
      <c r="B11" s="13" t="s">
        <v>53</v>
      </c>
      <c r="C11" s="14">
        <v>6.7410414347710557E-3</v>
      </c>
      <c r="D11" s="14">
        <v>0.12855809612692481</v>
      </c>
      <c r="E11" s="14">
        <v>2.162202431184855E-3</v>
      </c>
      <c r="F11" s="14">
        <v>2.8477402369460329E-2</v>
      </c>
      <c r="G11" s="57">
        <v>3.1176735987097492</v>
      </c>
      <c r="H11" s="14">
        <v>6.0462526653912718E-3</v>
      </c>
      <c r="I11" s="14">
        <v>1.4552352963675425E-3</v>
      </c>
      <c r="J11" s="14">
        <v>2.7624066754501596E-2</v>
      </c>
      <c r="K11" s="57">
        <v>4.1548282126495337</v>
      </c>
      <c r="L11" s="14">
        <v>1.552719342093889E-2</v>
      </c>
      <c r="M11" s="14">
        <v>1.5873483285538056E-3</v>
      </c>
      <c r="N11" s="14">
        <v>1.1209360485887871E-2</v>
      </c>
      <c r="O11" s="57">
        <v>9.7818438093454496</v>
      </c>
      <c r="P11" s="14">
        <v>2.8750714282757883E-2</v>
      </c>
      <c r="Q11" s="14">
        <v>1.4650366927239588E-3</v>
      </c>
      <c r="R11" s="14">
        <v>1.0759436922801447E-3</v>
      </c>
      <c r="S11" s="57">
        <v>19.624569422422702</v>
      </c>
      <c r="T11" s="14">
        <v>1.9703305240968971E-2</v>
      </c>
      <c r="U11" s="14">
        <v>9.8544819343649587E-4</v>
      </c>
      <c r="V11" s="14">
        <v>4.191817572104385E-5</v>
      </c>
      <c r="W11" s="57">
        <v>19.994257813045238</v>
      </c>
      <c r="X11" s="31">
        <v>43465</v>
      </c>
      <c r="Y11" s="33">
        <v>8</v>
      </c>
      <c r="Z11" s="33" t="s">
        <v>113</v>
      </c>
      <c r="AA11" s="33" t="s">
        <v>112</v>
      </c>
      <c r="AB11" s="33" t="s">
        <v>114</v>
      </c>
      <c r="AC11" s="33" t="s">
        <v>114</v>
      </c>
      <c r="AD11" s="33" t="s">
        <v>112</v>
      </c>
      <c r="AE11" s="33" t="s">
        <v>31</v>
      </c>
    </row>
    <row r="12" spans="1:32" s="8" customFormat="1" ht="21.75" customHeight="1" x14ac:dyDescent="0.35">
      <c r="A12" s="12" t="s">
        <v>50</v>
      </c>
      <c r="B12" s="13" t="s">
        <v>110</v>
      </c>
      <c r="C12" s="14">
        <v>8.3780771925703323E-3</v>
      </c>
      <c r="D12" s="14">
        <v>0.16205337078651683</v>
      </c>
      <c r="E12" s="14">
        <v>1.7906808759015204E-3</v>
      </c>
      <c r="F12" s="14">
        <v>2.353153370328355E-2</v>
      </c>
      <c r="G12" s="57">
        <v>4.6787103750981762</v>
      </c>
      <c r="H12" s="14">
        <v>7.3737741943051827E-3</v>
      </c>
      <c r="I12" s="14">
        <v>1.2857935254283511E-3</v>
      </c>
      <c r="J12" s="14">
        <v>2.353153370328355E-2</v>
      </c>
      <c r="K12" s="57">
        <v>5.7348042655982985</v>
      </c>
      <c r="L12" s="14">
        <v>1.7768562686868217E-2</v>
      </c>
      <c r="M12" s="14">
        <v>1.5530745581194198E-3</v>
      </c>
      <c r="N12" s="14">
        <v>9.1397165869534069E-3</v>
      </c>
      <c r="O12" s="57">
        <v>11.440894832752742</v>
      </c>
      <c r="P12" s="14">
        <v>3.1767342240064167E-2</v>
      </c>
      <c r="Q12" s="14">
        <v>1.387298864593652E-3</v>
      </c>
      <c r="R12" s="14">
        <v>3.1521153559568075E-5</v>
      </c>
      <c r="S12" s="57">
        <v>22.898701246590445</v>
      </c>
      <c r="T12" s="14">
        <v>2.3500598886819324E-2</v>
      </c>
      <c r="U12" s="14">
        <v>9.7656347043436156E-4</v>
      </c>
      <c r="V12" s="14">
        <v>3.1521153559568075E-5</v>
      </c>
      <c r="W12" s="57">
        <v>24.064589346524084</v>
      </c>
      <c r="X12" s="31">
        <v>42370</v>
      </c>
      <c r="Y12" s="33">
        <v>8</v>
      </c>
      <c r="Z12" s="33" t="s">
        <v>30</v>
      </c>
      <c r="AA12" s="33" t="s">
        <v>32</v>
      </c>
      <c r="AB12" s="33" t="s">
        <v>32</v>
      </c>
      <c r="AC12" s="33" t="s">
        <v>32</v>
      </c>
      <c r="AD12" s="33" t="s">
        <v>32</v>
      </c>
      <c r="AE12" s="33" t="s">
        <v>31</v>
      </c>
    </row>
    <row r="13" spans="1:32" s="8" customFormat="1" ht="21.75" customHeight="1" x14ac:dyDescent="0.35">
      <c r="A13" s="12" t="s">
        <v>157</v>
      </c>
      <c r="B13" s="13" t="s">
        <v>218</v>
      </c>
      <c r="C13" s="14">
        <v>8.5258229204656644E-3</v>
      </c>
      <c r="D13" s="14">
        <v>0.1651221394153175</v>
      </c>
      <c r="E13" s="14">
        <v>3.1423177674065076E-3</v>
      </c>
      <c r="F13" s="14">
        <v>2.411014203986768E-2</v>
      </c>
      <c r="G13" s="57">
        <v>2.7132274809693735</v>
      </c>
      <c r="H13" s="14">
        <v>7.6195602109050409E-3</v>
      </c>
      <c r="I13" s="14">
        <v>1.3226821869889245E-3</v>
      </c>
      <c r="J13" s="14">
        <v>2.411014203986768E-2</v>
      </c>
      <c r="K13" s="57">
        <v>5.7606886112611146</v>
      </c>
      <c r="L13" s="14">
        <v>1.800379076627201E-2</v>
      </c>
      <c r="M13" s="14">
        <v>1.5549589986955054E-3</v>
      </c>
      <c r="N13" s="14">
        <v>1.0945569795572875E-2</v>
      </c>
      <c r="O13" s="57">
        <v>11.578305782580664</v>
      </c>
      <c r="P13" s="14">
        <v>3.2701928720222595E-2</v>
      </c>
      <c r="Q13" s="14">
        <v>1.2561865986846403E-3</v>
      </c>
      <c r="R13" s="14">
        <v>0</v>
      </c>
      <c r="S13" s="57">
        <v>26.032699882696534</v>
      </c>
      <c r="T13" s="14">
        <v>2.4203018176583324E-2</v>
      </c>
      <c r="U13" s="14">
        <v>8.3862816632484355E-4</v>
      </c>
      <c r="V13" s="14">
        <v>0</v>
      </c>
      <c r="W13" s="57">
        <v>28.860249570020116</v>
      </c>
      <c r="X13" s="31" t="s">
        <v>112</v>
      </c>
      <c r="Y13" s="33">
        <v>8</v>
      </c>
      <c r="Z13" s="33" t="s">
        <v>114</v>
      </c>
      <c r="AA13" s="33" t="s">
        <v>114</v>
      </c>
      <c r="AB13" s="33" t="s">
        <v>114</v>
      </c>
      <c r="AC13" s="33" t="s">
        <v>114</v>
      </c>
      <c r="AD13" s="33" t="s">
        <v>114</v>
      </c>
      <c r="AE13" s="33" t="s">
        <v>29</v>
      </c>
    </row>
    <row r="14" spans="1:32" s="8" customFormat="1" ht="21.5" customHeight="1" x14ac:dyDescent="0.35">
      <c r="A14" s="12"/>
      <c r="B14" s="13"/>
      <c r="C14" s="14"/>
      <c r="D14" s="14"/>
      <c r="E14" s="14"/>
      <c r="F14" s="14"/>
      <c r="G14" s="15"/>
      <c r="H14" s="14"/>
      <c r="I14" s="14"/>
      <c r="J14" s="14"/>
      <c r="K14" s="15"/>
      <c r="L14" s="14"/>
      <c r="M14" s="14"/>
      <c r="N14" s="14"/>
      <c r="O14" s="25"/>
      <c r="P14" s="14"/>
      <c r="Q14" s="14"/>
      <c r="R14" s="14"/>
      <c r="S14" s="25"/>
      <c r="T14" s="14"/>
      <c r="U14" s="14"/>
      <c r="V14" s="14"/>
      <c r="W14" s="25"/>
      <c r="X14" s="16"/>
      <c r="Y14" s="15"/>
      <c r="Z14" s="28"/>
      <c r="AA14" s="15"/>
      <c r="AB14" s="15"/>
      <c r="AC14" s="15"/>
      <c r="AD14" s="15"/>
      <c r="AE14" s="62"/>
    </row>
    <row r="15" spans="1:32" s="8" customFormat="1" ht="21.75" customHeight="1" x14ac:dyDescent="0.35">
      <c r="A15" s="36" t="s">
        <v>2</v>
      </c>
      <c r="B15" s="36" t="s">
        <v>3</v>
      </c>
      <c r="C15" s="37">
        <f>AVERAGE(Table11[Performance annualisée depuis 01/08])</f>
        <v>7.8820022823851144E-3</v>
      </c>
      <c r="D15" s="37">
        <f>AVERAGE(Table11[Perf. Totale depuis 01/08])</f>
        <v>0.15198089824820293</v>
      </c>
      <c r="E15" s="37">
        <f>AVERAGE(Table11[Volatilité annualisée depuis 01/08])</f>
        <v>2.1545005807084871E-3</v>
      </c>
      <c r="F15" s="37">
        <f>AVERAGE(Table11[Max Drawdown depuis 01/08])</f>
        <v>2.570779847432432E-2</v>
      </c>
      <c r="G15" s="42">
        <f>AVERAGE(Table11[Couple Rendement / Risque depuis 01/08])</f>
        <v>4.5369313427158655</v>
      </c>
      <c r="H15" s="37">
        <f>AVERAGE(Table11[Performance annualisée 10 ans])</f>
        <v>7.0623197859658315E-3</v>
      </c>
      <c r="I15" s="37">
        <f>AVERAGE(Table11[Volatilité annualisée 10 ans])</f>
        <v>1.8971265083316674E-3</v>
      </c>
      <c r="J15" s="37">
        <f>AVERAGE(Table11[Max Drawdown 10 ans])</f>
        <v>2.5517913929854898E-2</v>
      </c>
      <c r="K15" s="42">
        <f>AVERAGE(Table11[Couple Rendement Risque 10 ans])</f>
        <v>5.0649103819899723</v>
      </c>
      <c r="L15" s="37">
        <f>AVERAGE(Table11[Performance annualisée 5 ans])</f>
        <v>1.7387289517526484E-2</v>
      </c>
      <c r="M15" s="37">
        <f>AVERAGE(Table11[Volatilité annualisée 5 ans])</f>
        <v>2.2592592967442234E-3</v>
      </c>
      <c r="N15" s="37">
        <f>AVERAGE(Table11[Max Drawdown 5 ans])</f>
        <v>1.0194655019845972E-2</v>
      </c>
      <c r="O15" s="42">
        <f>AVERAGE(Table11[Couple Rendement Risque 5 ans])</f>
        <v>10.540136891759357</v>
      </c>
      <c r="P15" s="37">
        <f>AVERAGE(Table11[Performance annualisée 3 ans])</f>
        <v>3.1459293559029836E-2</v>
      </c>
      <c r="Q15" s="37">
        <f>AVERAGE(Table11[Volatilité annualisée 3 ans])</f>
        <v>2.2542139138778459E-3</v>
      </c>
      <c r="R15" s="37">
        <f>AVERAGE(Table11[Max Drawdown 3 ans])</f>
        <v>1.6284304010823602E-3</v>
      </c>
      <c r="S15" s="42">
        <f>AVERAGE(Table11[Couple Rendement Risque 3 ans])</f>
        <v>22.514628731014433</v>
      </c>
      <c r="T15" s="37">
        <f>AVERAGE(Table11[Performance annualisée 1 an])</f>
        <v>2.2998012842284886E-2</v>
      </c>
      <c r="U15" s="37">
        <f>AVERAGE(Table11[Volatilité annualisée 1 an])</f>
        <v>2.8860122532744928E-3</v>
      </c>
      <c r="V15" s="37">
        <f>AVERAGE(Table11[Max Drawdown 1 an])</f>
        <v>1.4906965002101018E-3</v>
      </c>
      <c r="W15" s="42">
        <f>AVERAGE(Table11[Couple Rendement Risque 1 an])</f>
        <v>24.031478514234248</v>
      </c>
      <c r="X15" s="38"/>
      <c r="Y15" s="37"/>
      <c r="Z15" s="37"/>
      <c r="AA15" s="37"/>
      <c r="AB15" s="37"/>
      <c r="AC15" s="37"/>
      <c r="AD15" s="37"/>
      <c r="AE15" s="62"/>
    </row>
    <row r="16" spans="1:32" s="1" customFormat="1" x14ac:dyDescent="0.35">
      <c r="A16" s="7"/>
      <c r="B16" s="2"/>
      <c r="C16" s="2"/>
      <c r="D16" s="2"/>
      <c r="E16" s="5"/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5"/>
      <c r="Z16" s="5"/>
      <c r="AA16" s="5"/>
      <c r="AB16" s="5"/>
      <c r="AC16" s="5"/>
      <c r="AD16" s="5"/>
      <c r="AE16" s="61"/>
    </row>
    <row r="17" spans="2:29" x14ac:dyDescent="0.35">
      <c r="E17" s="2"/>
      <c r="F17" s="2"/>
    </row>
    <row r="18" spans="2:29" x14ac:dyDescent="0.35">
      <c r="C18" s="6"/>
      <c r="E18" s="2"/>
      <c r="F18" s="2"/>
      <c r="G18" s="6"/>
      <c r="H18" s="6"/>
      <c r="I18" s="6"/>
      <c r="J18" s="6"/>
      <c r="K18" s="6"/>
      <c r="T18" s="6"/>
    </row>
    <row r="19" spans="2:29" x14ac:dyDescent="0.35">
      <c r="B19" s="2" t="s">
        <v>21</v>
      </c>
      <c r="E19" s="2"/>
      <c r="F19" s="2"/>
    </row>
    <row r="20" spans="2:29" x14ac:dyDescent="0.35">
      <c r="E20" s="2"/>
      <c r="F20" s="2"/>
      <c r="AC20" s="63"/>
    </row>
    <row r="21" spans="2:29" x14ac:dyDescent="0.35">
      <c r="E21" s="2"/>
      <c r="F21" s="2"/>
    </row>
    <row r="22" spans="2:29" x14ac:dyDescent="0.35">
      <c r="E22" s="2"/>
      <c r="F22" s="2"/>
    </row>
    <row r="23" spans="2:29" x14ac:dyDescent="0.35">
      <c r="E23" s="2"/>
      <c r="F23" s="2"/>
    </row>
    <row r="24" spans="2:29" x14ac:dyDescent="0.35">
      <c r="E24" s="2"/>
      <c r="F24" s="2"/>
    </row>
    <row r="25" spans="2:29" x14ac:dyDescent="0.35">
      <c r="E25" s="2"/>
      <c r="F25" s="2"/>
    </row>
    <row r="26" spans="2:29" x14ac:dyDescent="0.35">
      <c r="E26" s="2"/>
      <c r="F26" s="2"/>
    </row>
    <row r="27" spans="2:29" x14ac:dyDescent="0.35">
      <c r="E27" s="2"/>
      <c r="F27" s="2"/>
    </row>
    <row r="28" spans="2:29" x14ac:dyDescent="0.35">
      <c r="E28" s="2"/>
      <c r="F28" s="2"/>
    </row>
    <row r="29" spans="2:29" x14ac:dyDescent="0.35">
      <c r="E29" s="2"/>
      <c r="F29" s="2"/>
    </row>
    <row r="30" spans="2:29" x14ac:dyDescent="0.35">
      <c r="E30" s="2"/>
      <c r="F30" s="2"/>
    </row>
    <row r="31" spans="2:29" x14ac:dyDescent="0.35">
      <c r="E31" s="2"/>
      <c r="F31" s="2"/>
    </row>
    <row r="32" spans="2:29" x14ac:dyDescent="0.35">
      <c r="E32" s="2"/>
      <c r="F32" s="2"/>
    </row>
    <row r="33" spans="5:6" x14ac:dyDescent="0.35">
      <c r="E33" s="2"/>
      <c r="F33" s="2"/>
    </row>
    <row r="34" spans="5:6" x14ac:dyDescent="0.35">
      <c r="E34" s="2"/>
      <c r="F34" s="2"/>
    </row>
    <row r="35" spans="5:6" x14ac:dyDescent="0.35">
      <c r="E35" s="2"/>
      <c r="F35" s="2"/>
    </row>
    <row r="36" spans="5:6" x14ac:dyDescent="0.35">
      <c r="E36" s="2"/>
      <c r="F36" s="2"/>
    </row>
    <row r="37" spans="5:6" x14ac:dyDescent="0.35">
      <c r="E37" s="2"/>
      <c r="F37" s="2"/>
    </row>
    <row r="38" spans="5:6" x14ac:dyDescent="0.35">
      <c r="E38" s="2"/>
      <c r="F38" s="2"/>
    </row>
    <row r="39" spans="5:6" x14ac:dyDescent="0.35">
      <c r="E39" s="2"/>
      <c r="F39" s="2"/>
    </row>
    <row r="40" spans="5:6" x14ac:dyDescent="0.35">
      <c r="E40" s="2"/>
      <c r="F40" s="2"/>
    </row>
    <row r="41" spans="5:6" x14ac:dyDescent="0.35">
      <c r="E41" s="2"/>
      <c r="F41" s="2"/>
    </row>
    <row r="42" spans="5:6" x14ac:dyDescent="0.35">
      <c r="E42" s="2"/>
      <c r="F42" s="2"/>
    </row>
    <row r="43" spans="5:6" x14ac:dyDescent="0.35">
      <c r="E43" s="2"/>
      <c r="F43" s="2"/>
    </row>
  </sheetData>
  <sheetProtection selectLockedCells="1"/>
  <phoneticPr fontId="9" type="noConversion"/>
  <conditionalFormatting sqref="C4:C14">
    <cfRule type="iconSet" priority="482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4">
    <cfRule type="iconSet" priority="48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4">
    <cfRule type="iconSet" priority="482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4">
    <cfRule type="iconSet" priority="482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3">
    <cfRule type="iconSet" priority="48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4 K14">
    <cfRule type="iconSet" priority="435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3:X23">
    <cfRule type="iconSet" priority="15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4">
    <cfRule type="iconSet" priority="48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4">
    <cfRule type="iconSet" priority="483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4">
    <cfRule type="iconSet" priority="483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3">
    <cfRule type="iconSet" priority="483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4">
    <cfRule type="iconSet" priority="484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4">
    <cfRule type="iconSet" priority="484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4">
    <cfRule type="iconSet" priority="484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3">
    <cfRule type="iconSet" priority="484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14">
    <cfRule type="iconSet" priority="436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4">
    <cfRule type="iconSet" priority="484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4">
    <cfRule type="iconSet" priority="485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4">
    <cfRule type="iconSet" priority="485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3">
    <cfRule type="iconSet" priority="485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14">
    <cfRule type="iconSet" priority="437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4">
    <cfRule type="iconSet" priority="485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4">
    <cfRule type="iconSet" priority="485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4">
    <cfRule type="iconSet" priority="486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3">
    <cfRule type="iconSet" priority="486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14">
    <cfRule type="iconSet" priority="438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4803149606299213" right="0.74803149606299213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>
    <tabColor rgb="FF008000"/>
    <pageSetUpPr fitToPage="1"/>
  </sheetPr>
  <dimension ref="A1:AE39"/>
  <sheetViews>
    <sheetView showGridLines="0" tabSelected="1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20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12" customFormat="1" ht="21.75" customHeight="1" x14ac:dyDescent="0.35">
      <c r="A4" s="12" t="s">
        <v>250</v>
      </c>
      <c r="B4" s="13" t="s">
        <v>259</v>
      </c>
      <c r="C4" s="14" t="s">
        <v>112</v>
      </c>
      <c r="D4" s="14" t="s">
        <v>112</v>
      </c>
      <c r="E4" s="14" t="s">
        <v>112</v>
      </c>
      <c r="F4" s="14" t="s">
        <v>112</v>
      </c>
      <c r="G4" s="44" t="s">
        <v>112</v>
      </c>
      <c r="H4" s="40">
        <v>4.9102797727614611E-2</v>
      </c>
      <c r="I4" s="40">
        <v>0.13431278587056567</v>
      </c>
      <c r="J4" s="40">
        <v>0.25505395956832355</v>
      </c>
      <c r="K4" s="44">
        <v>0.36558543112145642</v>
      </c>
      <c r="L4" s="21">
        <v>3.9066955693219052E-2</v>
      </c>
      <c r="M4" s="21">
        <v>8.4393955647404637E-2</v>
      </c>
      <c r="N4" s="21">
        <v>0.2089775237105366</v>
      </c>
      <c r="O4" s="41">
        <v>0.46291177363980424</v>
      </c>
      <c r="P4" s="21">
        <v>8.6803325061644898E-2</v>
      </c>
      <c r="Q4" s="21">
        <v>6.2151845459169193E-2</v>
      </c>
      <c r="R4" s="21">
        <v>9.2670223577235797E-2</v>
      </c>
      <c r="S4" s="41">
        <v>1.3966331075184333</v>
      </c>
      <c r="T4" s="21">
        <v>8.7133578289828595E-2</v>
      </c>
      <c r="U4" s="21">
        <v>5.6704951281739191E-2</v>
      </c>
      <c r="V4" s="21">
        <v>9.2670223577235797E-2</v>
      </c>
      <c r="W4" s="41">
        <v>1.5366132290089525</v>
      </c>
      <c r="X4" s="31">
        <v>42736</v>
      </c>
      <c r="Y4" s="33">
        <v>8</v>
      </c>
      <c r="Z4" s="33" t="s">
        <v>114</v>
      </c>
      <c r="AA4" s="33" t="s">
        <v>114</v>
      </c>
      <c r="AB4" s="33" t="s">
        <v>114</v>
      </c>
      <c r="AC4" s="33" t="s">
        <v>114</v>
      </c>
      <c r="AD4" s="47" t="s">
        <v>114</v>
      </c>
      <c r="AE4" s="47" t="s">
        <v>33</v>
      </c>
    </row>
    <row r="5" spans="1:31" s="12" customFormat="1" ht="21.75" customHeight="1" x14ac:dyDescent="0.35">
      <c r="A5" s="12" t="s">
        <v>27</v>
      </c>
      <c r="B5" s="13" t="s">
        <v>240</v>
      </c>
      <c r="C5" s="14" t="s">
        <v>112</v>
      </c>
      <c r="D5" s="14" t="s">
        <v>112</v>
      </c>
      <c r="E5" s="14" t="s">
        <v>112</v>
      </c>
      <c r="F5" s="14" t="s">
        <v>112</v>
      </c>
      <c r="G5" s="44" t="s">
        <v>112</v>
      </c>
      <c r="H5" s="40" t="s">
        <v>112</v>
      </c>
      <c r="I5" s="40" t="s">
        <v>112</v>
      </c>
      <c r="J5" s="40" t="s">
        <v>112</v>
      </c>
      <c r="K5" s="44" t="s">
        <v>112</v>
      </c>
      <c r="L5" s="21">
        <v>2.0376975318411983E-2</v>
      </c>
      <c r="M5" s="21">
        <v>7.5463391397395774E-2</v>
      </c>
      <c r="N5" s="21">
        <v>0.22477484997168803</v>
      </c>
      <c r="O5" s="41">
        <v>0.27002464295707745</v>
      </c>
      <c r="P5" s="21">
        <v>6.3847908099704753E-2</v>
      </c>
      <c r="Q5" s="21">
        <v>6.8698951328317964E-2</v>
      </c>
      <c r="R5" s="21">
        <v>0.10631644253663775</v>
      </c>
      <c r="S5" s="41">
        <v>0.9293869391771401</v>
      </c>
      <c r="T5" s="21">
        <v>7.1770443926044036E-2</v>
      </c>
      <c r="U5" s="21">
        <v>6.9116352708620418E-2</v>
      </c>
      <c r="V5" s="21">
        <v>0.10631644253663775</v>
      </c>
      <c r="W5" s="41">
        <v>1.0384003367280199</v>
      </c>
      <c r="X5" s="31" t="s">
        <v>112</v>
      </c>
      <c r="Y5" s="33">
        <v>8</v>
      </c>
      <c r="Z5" s="33" t="s">
        <v>114</v>
      </c>
      <c r="AA5" s="33" t="s">
        <v>114</v>
      </c>
      <c r="AB5" s="33" t="s">
        <v>114</v>
      </c>
      <c r="AC5" s="33" t="s">
        <v>114</v>
      </c>
      <c r="AD5" s="47" t="s">
        <v>114</v>
      </c>
      <c r="AE5" s="47" t="s">
        <v>31</v>
      </c>
    </row>
    <row r="6" spans="1:31" s="12" customFormat="1" ht="21.75" customHeight="1" x14ac:dyDescent="0.35">
      <c r="A6" s="12" t="s">
        <v>48</v>
      </c>
      <c r="B6" s="13" t="s">
        <v>93</v>
      </c>
      <c r="C6" s="14">
        <v>4.8918137399527772E-2</v>
      </c>
      <c r="D6" s="14">
        <v>1.3625287671232877</v>
      </c>
      <c r="E6" s="14">
        <v>0.1560928092821989</v>
      </c>
      <c r="F6" s="14">
        <v>0.52868150684931503</v>
      </c>
      <c r="G6" s="44">
        <v>0.31339135751659819</v>
      </c>
      <c r="H6" s="40">
        <v>6.2454443344575727E-2</v>
      </c>
      <c r="I6" s="40">
        <v>0.12751930714491602</v>
      </c>
      <c r="J6" s="40">
        <v>0.31137871712951581</v>
      </c>
      <c r="K6" s="44">
        <v>0.4897646069673276</v>
      </c>
      <c r="L6" s="21">
        <v>7.0820910670658765E-2</v>
      </c>
      <c r="M6" s="21">
        <v>0.11201845681261237</v>
      </c>
      <c r="N6" s="21">
        <v>0.22393786189686668</v>
      </c>
      <c r="O6" s="41">
        <v>0.63222537326263994</v>
      </c>
      <c r="P6" s="21">
        <v>0.12077301314466471</v>
      </c>
      <c r="Q6" s="21">
        <v>0.10888565507186942</v>
      </c>
      <c r="R6" s="21">
        <v>0.22393786189686668</v>
      </c>
      <c r="S6" s="41">
        <v>1.1091728572046438</v>
      </c>
      <c r="T6" s="21">
        <v>4.1828028210973311E-2</v>
      </c>
      <c r="U6" s="21">
        <v>0.16326660203876189</v>
      </c>
      <c r="V6" s="21">
        <v>0.22393786189686668</v>
      </c>
      <c r="W6" s="41">
        <v>0.2561946392504863</v>
      </c>
      <c r="X6" s="31">
        <v>42736</v>
      </c>
      <c r="Y6" s="33">
        <v>8</v>
      </c>
      <c r="Z6" s="33" t="s">
        <v>114</v>
      </c>
      <c r="AA6" s="33" t="s">
        <v>112</v>
      </c>
      <c r="AB6" s="33" t="s">
        <v>114</v>
      </c>
      <c r="AC6" s="33" t="s">
        <v>114</v>
      </c>
      <c r="AD6" s="47" t="s">
        <v>112</v>
      </c>
      <c r="AE6" s="47" t="s">
        <v>33</v>
      </c>
    </row>
    <row r="7" spans="1:31" s="12" customFormat="1" ht="21.75" customHeight="1" x14ac:dyDescent="0.35">
      <c r="A7" s="12" t="s">
        <v>70</v>
      </c>
      <c r="B7" s="13" t="s">
        <v>116</v>
      </c>
      <c r="C7" s="14" t="s">
        <v>112</v>
      </c>
      <c r="D7" s="14" t="s">
        <v>112</v>
      </c>
      <c r="E7" s="14" t="s">
        <v>112</v>
      </c>
      <c r="F7" s="14" t="s">
        <v>112</v>
      </c>
      <c r="G7" s="44" t="s">
        <v>112</v>
      </c>
      <c r="H7" s="40" t="s">
        <v>112</v>
      </c>
      <c r="I7" s="40" t="s">
        <v>112</v>
      </c>
      <c r="J7" s="40" t="s">
        <v>112</v>
      </c>
      <c r="K7" s="44" t="s">
        <v>112</v>
      </c>
      <c r="L7" s="21">
        <v>4.2478067191761948E-2</v>
      </c>
      <c r="M7" s="21">
        <v>7.4616170804837845E-2</v>
      </c>
      <c r="N7" s="21">
        <v>0.20276923076923076</v>
      </c>
      <c r="O7" s="41">
        <v>0.56928768567962784</v>
      </c>
      <c r="P7" s="21">
        <v>7.9493273452952318E-2</v>
      </c>
      <c r="Q7" s="21">
        <v>6.2822513185515433E-2</v>
      </c>
      <c r="R7" s="21">
        <v>9.1773484985256074E-2</v>
      </c>
      <c r="S7" s="41">
        <v>1.265362836061779</v>
      </c>
      <c r="T7" s="21">
        <v>7.3275923185272651E-2</v>
      </c>
      <c r="U7" s="21">
        <v>6.9169158767430322E-2</v>
      </c>
      <c r="V7" s="21">
        <v>9.1773484985256074E-2</v>
      </c>
      <c r="W7" s="41">
        <v>1.0593727680229659</v>
      </c>
      <c r="X7" s="31" t="s">
        <v>112</v>
      </c>
      <c r="Y7" s="33">
        <v>6</v>
      </c>
      <c r="Z7" s="33" t="s">
        <v>114</v>
      </c>
      <c r="AA7" s="33" t="s">
        <v>112</v>
      </c>
      <c r="AB7" s="33" t="s">
        <v>114</v>
      </c>
      <c r="AC7" s="33" t="s">
        <v>114</v>
      </c>
      <c r="AD7" s="47" t="s">
        <v>112</v>
      </c>
      <c r="AE7" s="47" t="s">
        <v>31</v>
      </c>
    </row>
    <row r="8" spans="1:31" s="12" customFormat="1" ht="21.75" customHeight="1" x14ac:dyDescent="0.35">
      <c r="A8" s="12" t="s">
        <v>58</v>
      </c>
      <c r="B8" s="13" t="s">
        <v>94</v>
      </c>
      <c r="C8" s="14">
        <v>3.4492425445157737E-2</v>
      </c>
      <c r="D8" s="14">
        <v>0.84124606859367979</v>
      </c>
      <c r="E8" s="14">
        <v>9.4849279070040149E-2</v>
      </c>
      <c r="F8" s="14">
        <v>0.44473565972742241</v>
      </c>
      <c r="G8" s="44">
        <v>0.36365511454955052</v>
      </c>
      <c r="H8" s="40">
        <v>3.538119683793739E-2</v>
      </c>
      <c r="I8" s="40">
        <v>6.551398631929839E-2</v>
      </c>
      <c r="J8" s="40">
        <v>0.1990302687944264</v>
      </c>
      <c r="K8" s="44">
        <v>0.54005562515305505</v>
      </c>
      <c r="L8" s="21">
        <v>2.9808301184670816E-2</v>
      </c>
      <c r="M8" s="21">
        <v>5.6081335165866469E-2</v>
      </c>
      <c r="N8" s="21">
        <v>0.13075965130759651</v>
      </c>
      <c r="O8" s="41">
        <v>0.53151910696329929</v>
      </c>
      <c r="P8" s="21">
        <v>5.659509879951008E-2</v>
      </c>
      <c r="Q8" s="21">
        <v>5.9808776545882389E-2</v>
      </c>
      <c r="R8" s="21">
        <v>0.13075965130759651</v>
      </c>
      <c r="S8" s="41">
        <v>0.94626745551454428</v>
      </c>
      <c r="T8" s="21">
        <v>4.79367553486576E-2</v>
      </c>
      <c r="U8" s="21">
        <v>8.6689839199070765E-2</v>
      </c>
      <c r="V8" s="21">
        <v>0.13075965130759651</v>
      </c>
      <c r="W8" s="41">
        <v>0.55296855769426134</v>
      </c>
      <c r="X8" s="31">
        <v>43830</v>
      </c>
      <c r="Y8" s="33">
        <v>8</v>
      </c>
      <c r="Z8" s="33" t="s">
        <v>114</v>
      </c>
      <c r="AA8" s="33" t="s">
        <v>112</v>
      </c>
      <c r="AB8" s="33" t="s">
        <v>114</v>
      </c>
      <c r="AC8" s="33" t="s">
        <v>114</v>
      </c>
      <c r="AD8" s="47" t="s">
        <v>112</v>
      </c>
      <c r="AE8" s="47" t="s">
        <v>29</v>
      </c>
    </row>
    <row r="9" spans="1:31" s="12" customFormat="1" ht="21.75" customHeight="1" x14ac:dyDescent="0.35">
      <c r="A9" s="12" t="s">
        <v>50</v>
      </c>
      <c r="B9" s="13" t="s">
        <v>95</v>
      </c>
      <c r="C9" s="14">
        <v>4.8348332416066508E-2</v>
      </c>
      <c r="D9" s="14">
        <v>1.3395322023332139</v>
      </c>
      <c r="E9" s="14">
        <v>0.15937683431579341</v>
      </c>
      <c r="F9" s="14">
        <v>0.48727615457115941</v>
      </c>
      <c r="G9" s="44">
        <v>0.30335859426262579</v>
      </c>
      <c r="H9" s="40">
        <v>6.4762166957061051E-2</v>
      </c>
      <c r="I9" s="40">
        <v>0.111339601913412</v>
      </c>
      <c r="J9" s="40">
        <v>0.3003653048819046</v>
      </c>
      <c r="K9" s="44">
        <v>0.58166336006326047</v>
      </c>
      <c r="L9" s="21">
        <v>6.5183693577109958E-2</v>
      </c>
      <c r="M9" s="21">
        <v>8.9862748029533424E-2</v>
      </c>
      <c r="N9" s="21">
        <v>0.19239184492802192</v>
      </c>
      <c r="O9" s="41">
        <v>0.72536946628526555</v>
      </c>
      <c r="P9" s="21">
        <v>9.7142859074868415E-2</v>
      </c>
      <c r="Q9" s="21">
        <v>7.2299244370682705E-2</v>
      </c>
      <c r="R9" s="21">
        <v>0.10503302628887538</v>
      </c>
      <c r="S9" s="41">
        <v>1.3436220519375135</v>
      </c>
      <c r="T9" s="21">
        <v>8.5131593646008641E-2</v>
      </c>
      <c r="U9" s="21">
        <v>7.5326801577436417E-2</v>
      </c>
      <c r="V9" s="21">
        <v>0.10503302628887538</v>
      </c>
      <c r="W9" s="41">
        <v>1.1301633928860346</v>
      </c>
      <c r="X9" s="31">
        <v>42736</v>
      </c>
      <c r="Y9" s="33">
        <v>8</v>
      </c>
      <c r="Z9" s="33" t="s">
        <v>32</v>
      </c>
      <c r="AA9" s="33" t="s">
        <v>32</v>
      </c>
      <c r="AB9" s="33" t="s">
        <v>32</v>
      </c>
      <c r="AC9" s="33" t="s">
        <v>32</v>
      </c>
      <c r="AD9" s="47" t="s">
        <v>32</v>
      </c>
      <c r="AE9" s="47" t="s">
        <v>31</v>
      </c>
    </row>
    <row r="10" spans="1:31" s="12" customFormat="1" ht="21.75" customHeight="1" x14ac:dyDescent="0.35">
      <c r="B10" s="13"/>
      <c r="C10" s="14"/>
      <c r="D10" s="14"/>
      <c r="E10" s="14"/>
      <c r="F10" s="14"/>
      <c r="G10" s="25"/>
      <c r="H10" s="21"/>
      <c r="I10" s="21"/>
      <c r="J10" s="21"/>
      <c r="K10" s="24"/>
      <c r="L10" s="21"/>
      <c r="M10" s="21"/>
      <c r="N10" s="21"/>
      <c r="O10" s="24"/>
      <c r="P10" s="21"/>
      <c r="Q10" s="21"/>
      <c r="R10" s="21"/>
      <c r="S10" s="24"/>
      <c r="T10" s="21"/>
      <c r="U10" s="21"/>
      <c r="V10" s="21"/>
      <c r="W10" s="23"/>
      <c r="X10" s="16"/>
      <c r="Y10" s="28"/>
      <c r="Z10" s="15"/>
      <c r="AA10" s="15"/>
      <c r="AB10" s="15"/>
      <c r="AC10" s="15"/>
    </row>
    <row r="11" spans="1:31" s="8" customFormat="1" ht="21.75" customHeight="1" x14ac:dyDescent="0.35">
      <c r="A11" s="36" t="s">
        <v>2</v>
      </c>
      <c r="B11" s="36" t="s">
        <v>3</v>
      </c>
      <c r="C11" s="37">
        <f>AVERAGE(Table6[Performance annualisée depuis 01/08])</f>
        <v>4.3919631753584008E-2</v>
      </c>
      <c r="D11" s="37">
        <f>AVERAGE(Table6[Perf. Totale depuis 01/08])</f>
        <v>1.1811023460167271</v>
      </c>
      <c r="E11" s="37">
        <f>AVERAGE(Table6[Volatilité annualisée depuis 01/08])</f>
        <v>0.13677297422267751</v>
      </c>
      <c r="F11" s="37">
        <f>AVERAGE(Table6[Max Drawdown depuis 01/08])</f>
        <v>0.48689777371596565</v>
      </c>
      <c r="G11" s="42">
        <f>AVERAGE(Table6[Couple Rendement / Risque depuis 01/08])</f>
        <v>0.32680168877625815</v>
      </c>
      <c r="H11" s="37">
        <f>AVERAGE(Table6[Performance annualisée 10 ans])</f>
        <v>5.2925151216797195E-2</v>
      </c>
      <c r="I11" s="37">
        <f>AVERAGE(Table6[Volatilité annualisée 10 ans])</f>
        <v>0.10967142031204802</v>
      </c>
      <c r="J11" s="37">
        <f>AVERAGE(Table6[Max Drawdown 10 ans])</f>
        <v>0.26645706259354263</v>
      </c>
      <c r="K11" s="42">
        <f>AVERAGE(Table6[Couple Rendement Risque 10 ans])</f>
        <v>0.49426725582627484</v>
      </c>
      <c r="L11" s="37">
        <f>AVERAGE(Table6[Performance annualisée 5 ans])</f>
        <v>4.4622483939305423E-2</v>
      </c>
      <c r="M11" s="37">
        <f>AVERAGE(Table6[Volatilité annualisée 5 ans])</f>
        <v>8.2072676309608419E-2</v>
      </c>
      <c r="N11" s="37">
        <f>AVERAGE(Table6[Max Drawdown 5 ans])</f>
        <v>0.19726849376399005</v>
      </c>
      <c r="O11" s="42">
        <f>AVERAGE(Table6[Couple Rendement Risque 5 ans])</f>
        <v>0.53188967479795235</v>
      </c>
      <c r="P11" s="37">
        <f>AVERAGE(Table6[Performance annualisée 3 ans])</f>
        <v>8.41092462722242E-2</v>
      </c>
      <c r="Q11" s="37">
        <f>AVERAGE(Table6[Volatilité annualisée 3 ans])</f>
        <v>7.2444497660239512E-2</v>
      </c>
      <c r="R11" s="37">
        <f>AVERAGE(Table6[Max Drawdown 3 ans])</f>
        <v>0.12508178176541135</v>
      </c>
      <c r="S11" s="42">
        <f>AVERAGE(Table6[Couple Rendement Risque 3 ans])</f>
        <v>1.1650742079023424</v>
      </c>
      <c r="T11" s="37">
        <f>AVERAGE(Table6[Performance annualisée 1 an])</f>
        <v>6.7846053767797468E-2</v>
      </c>
      <c r="U11" s="37">
        <f>AVERAGE(Table6[Volatilité annualisée 1 an])</f>
        <v>8.6712284262176489E-2</v>
      </c>
      <c r="V11" s="37">
        <f>AVERAGE(Table6[Max Drawdown 1 an])</f>
        <v>0.12508178176541135</v>
      </c>
      <c r="W11" s="42">
        <f>AVERAGE(Table6[Couple Rendement Risque 1 an])</f>
        <v>0.92895215393178665</v>
      </c>
      <c r="X11" s="38"/>
      <c r="Y11" s="37"/>
      <c r="Z11" s="37"/>
      <c r="AA11" s="37"/>
      <c r="AB11" s="37"/>
      <c r="AC11" s="37"/>
      <c r="AD11" s="37"/>
      <c r="AE11" s="37"/>
    </row>
    <row r="12" spans="1:31" s="1" customFormat="1" x14ac:dyDescent="0.35">
      <c r="A12" s="7"/>
      <c r="B12" s="2"/>
      <c r="C12" s="2"/>
      <c r="D12" s="2"/>
      <c r="E12" s="5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31" x14ac:dyDescent="0.35">
      <c r="E13" s="2"/>
      <c r="F13" s="2"/>
    </row>
    <row r="14" spans="1:31" x14ac:dyDescent="0.35">
      <c r="E14" s="2"/>
      <c r="F14" s="2"/>
    </row>
    <row r="15" spans="1:31" x14ac:dyDescent="0.35">
      <c r="E15" s="2"/>
      <c r="F15" s="2"/>
    </row>
    <row r="16" spans="1:31" x14ac:dyDescent="0.35">
      <c r="E16" s="2"/>
      <c r="F16" s="2"/>
      <c r="AB16" s="6"/>
    </row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</sheetData>
  <sheetProtection selectLockedCells="1"/>
  <phoneticPr fontId="23" type="noConversion"/>
  <conditionalFormatting sqref="C4:C10">
    <cfRule type="iconSet" priority="51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0">
    <cfRule type="iconSet" priority="515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0">
    <cfRule type="iconSet" priority="51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0">
    <cfRule type="iconSet" priority="515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0">
    <cfRule type="iconSet" priority="515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:X19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0">
    <cfRule type="iconSet" priority="516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0">
    <cfRule type="iconSet" priority="516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0">
    <cfRule type="iconSet" priority="516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0">
    <cfRule type="iconSet" priority="516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0">
    <cfRule type="iconSet" priority="516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0">
    <cfRule type="iconSet" priority="517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0">
    <cfRule type="iconSet" priority="517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0">
    <cfRule type="iconSet" priority="517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0">
    <cfRule type="iconSet" priority="517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0">
    <cfRule type="iconSet" priority="517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0">
    <cfRule type="iconSet" priority="518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0">
    <cfRule type="iconSet" priority="518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0">
    <cfRule type="iconSet" priority="518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0">
    <cfRule type="iconSet" priority="518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0">
    <cfRule type="iconSet" priority="518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0">
    <cfRule type="iconSet" priority="519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C330-2E9D-4B2D-B3D3-B95ACE7DE45D}">
  <sheetPr codeName="Feuil14">
    <tabColor rgb="FF008000"/>
    <pageSetUpPr fitToPage="1"/>
  </sheetPr>
  <dimension ref="A1:AE48"/>
  <sheetViews>
    <sheetView showGridLines="0" zoomScale="70" zoomScaleNormal="70" workbookViewId="0">
      <pane xSplit="1" topLeftCell="B1" activePane="topRight" state="frozen"/>
      <selection activeCell="J29" sqref="J29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25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2"/>
      <c r="T2" s="4"/>
      <c r="U2" s="4"/>
      <c r="V2" s="22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69</v>
      </c>
      <c r="B4" s="13" t="s">
        <v>199</v>
      </c>
      <c r="C4" s="32" t="s">
        <v>112</v>
      </c>
      <c r="D4" s="32" t="s">
        <v>112</v>
      </c>
      <c r="E4" s="32" t="s">
        <v>112</v>
      </c>
      <c r="F4" s="32" t="s">
        <v>112</v>
      </c>
      <c r="G4" s="25" t="s">
        <v>112</v>
      </c>
      <c r="H4" s="14">
        <v>9.1499063982632078E-2</v>
      </c>
      <c r="I4" s="14">
        <v>0.13564590034377089</v>
      </c>
      <c r="J4" s="14">
        <v>0.31843170191646936</v>
      </c>
      <c r="K4" s="44">
        <v>0.67454352656986794</v>
      </c>
      <c r="L4" s="14">
        <v>9.8999166454467158E-2</v>
      </c>
      <c r="M4" s="14">
        <v>0.12187921417288948</v>
      </c>
      <c r="N4" s="14">
        <v>0.16717991021908626</v>
      </c>
      <c r="O4" s="44">
        <v>0.81227276633104761</v>
      </c>
      <c r="P4" s="14">
        <v>0.13354088829601918</v>
      </c>
      <c r="Q4" s="14">
        <v>0.11346713898917098</v>
      </c>
      <c r="R4" s="14">
        <v>0.16110359118330247</v>
      </c>
      <c r="S4" s="44">
        <v>1.1769124478300628</v>
      </c>
      <c r="T4" s="14">
        <v>0.10329416579701411</v>
      </c>
      <c r="U4" s="14">
        <v>0.13650278042551767</v>
      </c>
      <c r="V4" s="14">
        <v>0.16110359118330247</v>
      </c>
      <c r="W4" s="44">
        <v>0.7567184014495314</v>
      </c>
      <c r="X4" s="31">
        <v>45838</v>
      </c>
      <c r="Y4" s="33">
        <v>8</v>
      </c>
      <c r="Z4" s="33" t="s">
        <v>113</v>
      </c>
      <c r="AA4" s="33" t="s">
        <v>114</v>
      </c>
      <c r="AB4" s="35" t="s">
        <v>114</v>
      </c>
      <c r="AC4" s="33" t="s">
        <v>114</v>
      </c>
      <c r="AD4" s="27" t="s">
        <v>114</v>
      </c>
      <c r="AE4" s="27" t="s">
        <v>33</v>
      </c>
    </row>
    <row r="5" spans="1:31" s="8" customFormat="1" ht="21.5" customHeight="1" x14ac:dyDescent="0.35">
      <c r="A5" s="12" t="s">
        <v>250</v>
      </c>
      <c r="B5" s="13" t="s">
        <v>260</v>
      </c>
      <c r="C5" s="32" t="s">
        <v>112</v>
      </c>
      <c r="D5" s="32" t="s">
        <v>112</v>
      </c>
      <c r="E5" s="32" t="s">
        <v>112</v>
      </c>
      <c r="F5" s="32" t="s">
        <v>112</v>
      </c>
      <c r="G5" s="25" t="s">
        <v>112</v>
      </c>
      <c r="H5" s="14" t="s">
        <v>112</v>
      </c>
      <c r="I5" s="14" t="s">
        <v>112</v>
      </c>
      <c r="J5" s="14" t="s">
        <v>112</v>
      </c>
      <c r="K5" s="44" t="s">
        <v>112</v>
      </c>
      <c r="L5" s="14" t="s">
        <v>112</v>
      </c>
      <c r="M5" s="14" t="s">
        <v>112</v>
      </c>
      <c r="N5" s="14" t="s">
        <v>112</v>
      </c>
      <c r="O5" s="44" t="s">
        <v>112</v>
      </c>
      <c r="P5" s="14">
        <v>3.1972685451747473E-2</v>
      </c>
      <c r="Q5" s="14">
        <v>0.1476371495562939</v>
      </c>
      <c r="R5" s="14">
        <v>0.23589164785553043</v>
      </c>
      <c r="S5" s="44">
        <v>0.216562603300305</v>
      </c>
      <c r="T5" s="14">
        <v>-2.288179359565401E-2</v>
      </c>
      <c r="U5" s="14">
        <v>0.14320967253754707</v>
      </c>
      <c r="V5" s="14">
        <v>0.22076565023273484</v>
      </c>
      <c r="W5" s="44">
        <v>-0.15977826909460185</v>
      </c>
      <c r="X5" s="31" t="s">
        <v>112</v>
      </c>
      <c r="Y5" s="33">
        <v>9</v>
      </c>
      <c r="Z5" s="33" t="s">
        <v>113</v>
      </c>
      <c r="AA5" s="33" t="s">
        <v>114</v>
      </c>
      <c r="AB5" s="35" t="s">
        <v>114</v>
      </c>
      <c r="AC5" s="33" t="s">
        <v>114</v>
      </c>
      <c r="AD5" s="27" t="s">
        <v>114</v>
      </c>
      <c r="AE5" s="27" t="s">
        <v>33</v>
      </c>
    </row>
    <row r="6" spans="1:31" s="8" customFormat="1" ht="21.75" customHeight="1" x14ac:dyDescent="0.35">
      <c r="A6" s="12" t="s">
        <v>27</v>
      </c>
      <c r="B6" s="13" t="s">
        <v>241</v>
      </c>
      <c r="C6" s="32">
        <v>4.5525908372227475E-2</v>
      </c>
      <c r="D6" s="32">
        <v>1.228706365985186</v>
      </c>
      <c r="E6" s="32">
        <v>0.1381454565701136</v>
      </c>
      <c r="F6" s="32">
        <v>0.44262663364881422</v>
      </c>
      <c r="G6" s="25">
        <v>0.32955052958344311</v>
      </c>
      <c r="H6" s="14">
        <v>6.5528427639641507E-2</v>
      </c>
      <c r="I6" s="14">
        <v>0.1261522231885352</v>
      </c>
      <c r="J6" s="14">
        <v>0.32093272927374994</v>
      </c>
      <c r="K6" s="44">
        <v>0.51943934069008768</v>
      </c>
      <c r="L6" s="14">
        <v>8.4188559604523983E-2</v>
      </c>
      <c r="M6" s="14">
        <v>0.12335535404543216</v>
      </c>
      <c r="N6" s="14">
        <v>0.22400866152388693</v>
      </c>
      <c r="O6" s="44">
        <v>0.68248808700688479</v>
      </c>
      <c r="P6" s="14">
        <v>0.11886730189581418</v>
      </c>
      <c r="Q6" s="14">
        <v>0.12328463586366079</v>
      </c>
      <c r="R6" s="14">
        <v>0.22400866152388693</v>
      </c>
      <c r="S6" s="44">
        <v>0.96416963122045729</v>
      </c>
      <c r="T6" s="14">
        <v>0.14417473600321418</v>
      </c>
      <c r="U6" s="14">
        <v>0.1649650348277267</v>
      </c>
      <c r="V6" s="14">
        <v>0.19793531781557747</v>
      </c>
      <c r="W6" s="44">
        <v>0.8739714822221335</v>
      </c>
      <c r="X6" s="31" t="s">
        <v>112</v>
      </c>
      <c r="Y6" s="33" t="s">
        <v>243</v>
      </c>
      <c r="Z6" s="33" t="s">
        <v>114</v>
      </c>
      <c r="AA6" s="33" t="s">
        <v>114</v>
      </c>
      <c r="AB6" s="33" t="s">
        <v>114</v>
      </c>
      <c r="AC6" s="33" t="s">
        <v>114</v>
      </c>
      <c r="AD6" s="27" t="s">
        <v>114</v>
      </c>
      <c r="AE6" s="27" t="s">
        <v>31</v>
      </c>
    </row>
    <row r="7" spans="1:31" s="8" customFormat="1" ht="21.5" customHeight="1" x14ac:dyDescent="0.35">
      <c r="A7" s="12" t="s">
        <v>138</v>
      </c>
      <c r="B7" s="13" t="s">
        <v>98</v>
      </c>
      <c r="C7" s="32" t="s">
        <v>112</v>
      </c>
      <c r="D7" s="32" t="s">
        <v>112</v>
      </c>
      <c r="E7" s="32" t="s">
        <v>112</v>
      </c>
      <c r="F7" s="32" t="s">
        <v>112</v>
      </c>
      <c r="G7" s="25" t="s">
        <v>112</v>
      </c>
      <c r="H7" s="14" t="s">
        <v>112</v>
      </c>
      <c r="I7" s="14" t="s">
        <v>112</v>
      </c>
      <c r="J7" s="14" t="s">
        <v>112</v>
      </c>
      <c r="K7" s="44" t="s">
        <v>112</v>
      </c>
      <c r="L7" s="14" t="s">
        <v>112</v>
      </c>
      <c r="M7" s="14" t="s">
        <v>112</v>
      </c>
      <c r="N7" s="14" t="s">
        <v>112</v>
      </c>
      <c r="O7" s="44" t="s">
        <v>112</v>
      </c>
      <c r="P7" s="14">
        <v>7.0633330077747081E-2</v>
      </c>
      <c r="Q7" s="14">
        <v>0.13694493095151691</v>
      </c>
      <c r="R7" s="14">
        <v>0.20473950791279899</v>
      </c>
      <c r="S7" s="44">
        <v>0.51577907693971992</v>
      </c>
      <c r="T7" s="14">
        <v>0.13605716324465456</v>
      </c>
      <c r="U7" s="14">
        <v>0.15578126052901867</v>
      </c>
      <c r="V7" s="14">
        <v>0.18301424323934548</v>
      </c>
      <c r="W7" s="44">
        <v>0.87338594374327883</v>
      </c>
      <c r="X7" s="31">
        <v>45657</v>
      </c>
      <c r="Y7" s="33">
        <v>9</v>
      </c>
      <c r="Z7" s="33" t="s">
        <v>114</v>
      </c>
      <c r="AA7" s="33" t="s">
        <v>114</v>
      </c>
      <c r="AB7" s="33" t="s">
        <v>113</v>
      </c>
      <c r="AC7" s="33" t="s">
        <v>114</v>
      </c>
      <c r="AD7" s="27" t="s">
        <v>114</v>
      </c>
      <c r="AE7" s="27" t="s">
        <v>33</v>
      </c>
    </row>
    <row r="8" spans="1:31" s="8" customFormat="1" ht="21.5" customHeight="1" x14ac:dyDescent="0.35">
      <c r="A8" s="12" t="s">
        <v>35</v>
      </c>
      <c r="B8" s="13" t="s">
        <v>242</v>
      </c>
      <c r="C8" s="32" t="s">
        <v>112</v>
      </c>
      <c r="D8" s="32" t="s">
        <v>112</v>
      </c>
      <c r="E8" s="32" t="s">
        <v>112</v>
      </c>
      <c r="F8" s="32" t="s">
        <v>112</v>
      </c>
      <c r="G8" s="25" t="s">
        <v>112</v>
      </c>
      <c r="H8" s="14" t="s">
        <v>112</v>
      </c>
      <c r="I8" s="14" t="s">
        <v>112</v>
      </c>
      <c r="J8" s="14" t="s">
        <v>112</v>
      </c>
      <c r="K8" s="44" t="s">
        <v>112</v>
      </c>
      <c r="L8" s="14">
        <v>4.7701258807788305E-2</v>
      </c>
      <c r="M8" s="14">
        <v>0.1518126391176815</v>
      </c>
      <c r="N8" s="14">
        <v>0.24747836272532042</v>
      </c>
      <c r="O8" s="44">
        <v>0.3142113797969841</v>
      </c>
      <c r="P8" s="14">
        <v>9.0463576425052095E-2</v>
      </c>
      <c r="Q8" s="14">
        <v>0.1389555366897387</v>
      </c>
      <c r="R8" s="14">
        <v>0.15314293340451099</v>
      </c>
      <c r="S8" s="44">
        <v>0.65102534652534261</v>
      </c>
      <c r="T8" s="14">
        <v>0.2010290516988571</v>
      </c>
      <c r="U8" s="14">
        <v>0.15545008151058209</v>
      </c>
      <c r="V8" s="14">
        <v>0.15150096944574445</v>
      </c>
      <c r="W8" s="44">
        <v>1.2932064733923749</v>
      </c>
      <c r="X8" s="31">
        <v>45107</v>
      </c>
      <c r="Y8" s="33">
        <v>9</v>
      </c>
      <c r="Z8" s="33" t="s">
        <v>113</v>
      </c>
      <c r="AA8" s="33" t="s">
        <v>114</v>
      </c>
      <c r="AB8" s="33" t="s">
        <v>114</v>
      </c>
      <c r="AC8" s="33" t="s">
        <v>114</v>
      </c>
      <c r="AD8" s="27" t="s">
        <v>114</v>
      </c>
      <c r="AE8" s="27" t="s">
        <v>33</v>
      </c>
    </row>
    <row r="9" spans="1:31" s="8" customFormat="1" ht="21.5" customHeight="1" x14ac:dyDescent="0.35">
      <c r="A9" s="12" t="s">
        <v>56</v>
      </c>
      <c r="B9" s="13" t="s">
        <v>99</v>
      </c>
      <c r="C9" s="32" t="s">
        <v>112</v>
      </c>
      <c r="D9" s="32" t="s">
        <v>112</v>
      </c>
      <c r="E9" s="32" t="s">
        <v>112</v>
      </c>
      <c r="F9" s="32" t="s">
        <v>112</v>
      </c>
      <c r="G9" s="25" t="s">
        <v>112</v>
      </c>
      <c r="H9" s="14">
        <v>3.7950470308631523E-2</v>
      </c>
      <c r="I9" s="14">
        <v>0.13195641166189728</v>
      </c>
      <c r="J9" s="14">
        <v>0.34538640944019616</v>
      </c>
      <c r="K9" s="44">
        <v>0.28759853220220455</v>
      </c>
      <c r="L9" s="14">
        <v>-6.4572478312597825E-3</v>
      </c>
      <c r="M9" s="14">
        <v>0.14028268323977222</v>
      </c>
      <c r="N9" s="14">
        <v>0.34538640944019616</v>
      </c>
      <c r="O9" s="44">
        <v>-4.6030256066766313E-2</v>
      </c>
      <c r="P9" s="14">
        <v>3.6164154270781346E-3</v>
      </c>
      <c r="Q9" s="14">
        <v>0.13843912063542688</v>
      </c>
      <c r="R9" s="14">
        <v>0.26196215147749358</v>
      </c>
      <c r="S9" s="44">
        <v>2.6122785311543547E-2</v>
      </c>
      <c r="T9" s="14">
        <v>0.12903072258026205</v>
      </c>
      <c r="U9" s="14">
        <v>0.15776619388011379</v>
      </c>
      <c r="V9" s="14">
        <v>0.14762868889949488</v>
      </c>
      <c r="W9" s="44">
        <v>0.81786040093172452</v>
      </c>
      <c r="X9" s="31">
        <v>45291</v>
      </c>
      <c r="Y9" s="33">
        <v>9</v>
      </c>
      <c r="Z9" s="33" t="s">
        <v>113</v>
      </c>
      <c r="AA9" s="33" t="s">
        <v>112</v>
      </c>
      <c r="AB9" s="33" t="s">
        <v>113</v>
      </c>
      <c r="AC9" s="33" t="s">
        <v>113</v>
      </c>
      <c r="AD9" s="27" t="s">
        <v>112</v>
      </c>
      <c r="AE9" s="27" t="s">
        <v>29</v>
      </c>
    </row>
    <row r="10" spans="1:31" s="8" customFormat="1" ht="21.5" customHeight="1" x14ac:dyDescent="0.35">
      <c r="A10" s="12" t="s">
        <v>156</v>
      </c>
      <c r="B10" s="13" t="s">
        <v>200</v>
      </c>
      <c r="C10" s="32" t="s">
        <v>112</v>
      </c>
      <c r="D10" s="32" t="s">
        <v>112</v>
      </c>
      <c r="E10" s="32" t="s">
        <v>112</v>
      </c>
      <c r="F10" s="32" t="s">
        <v>112</v>
      </c>
      <c r="G10" s="25" t="s">
        <v>112</v>
      </c>
      <c r="H10" s="14" t="s">
        <v>112</v>
      </c>
      <c r="I10" s="14" t="s">
        <v>112</v>
      </c>
      <c r="J10" s="14" t="s">
        <v>112</v>
      </c>
      <c r="K10" s="44" t="s">
        <v>112</v>
      </c>
      <c r="L10" s="14" t="s">
        <v>112</v>
      </c>
      <c r="M10" s="14" t="s">
        <v>112</v>
      </c>
      <c r="N10" s="14" t="s">
        <v>112</v>
      </c>
      <c r="O10" s="44" t="s">
        <v>112</v>
      </c>
      <c r="P10" s="14">
        <v>7.1143654268412071E-2</v>
      </c>
      <c r="Q10" s="14">
        <v>0.11470408346949189</v>
      </c>
      <c r="R10" s="14">
        <v>0.16726288119849012</v>
      </c>
      <c r="S10" s="44">
        <v>0.62023645642340464</v>
      </c>
      <c r="T10" s="14">
        <v>5.4931712983429248E-2</v>
      </c>
      <c r="U10" s="14">
        <v>0.12040429310027731</v>
      </c>
      <c r="V10" s="14">
        <v>0.16726288119849012</v>
      </c>
      <c r="W10" s="44">
        <v>0.45622719563396308</v>
      </c>
      <c r="X10" s="31" t="s">
        <v>112</v>
      </c>
      <c r="Y10" s="33">
        <v>8</v>
      </c>
      <c r="Z10" s="33" t="s">
        <v>113</v>
      </c>
      <c r="AA10" s="33" t="s">
        <v>32</v>
      </c>
      <c r="AB10" s="33" t="s">
        <v>32</v>
      </c>
      <c r="AC10" s="33" t="s">
        <v>32</v>
      </c>
      <c r="AD10" s="27" t="s">
        <v>32</v>
      </c>
      <c r="AE10" s="27" t="s">
        <v>31</v>
      </c>
    </row>
    <row r="11" spans="1:31" s="8" customFormat="1" ht="21.5" customHeight="1" x14ac:dyDescent="0.35">
      <c r="A11" s="12" t="s">
        <v>48</v>
      </c>
      <c r="B11" s="13" t="s">
        <v>100</v>
      </c>
      <c r="C11" s="32" t="s">
        <v>112</v>
      </c>
      <c r="D11" s="32" t="s">
        <v>112</v>
      </c>
      <c r="E11" s="32" t="s">
        <v>112</v>
      </c>
      <c r="F11" s="32" t="s">
        <v>112</v>
      </c>
      <c r="G11" s="25" t="s">
        <v>112</v>
      </c>
      <c r="H11" s="14" t="s">
        <v>112</v>
      </c>
      <c r="I11" s="14" t="s">
        <v>112</v>
      </c>
      <c r="J11" s="14" t="s">
        <v>112</v>
      </c>
      <c r="K11" s="44" t="s">
        <v>112</v>
      </c>
      <c r="L11" s="14">
        <v>4.2420033049779482E-2</v>
      </c>
      <c r="M11" s="14">
        <v>0.12473026037136044</v>
      </c>
      <c r="N11" s="14">
        <v>0.25783560023654639</v>
      </c>
      <c r="O11" s="44">
        <v>0.34009415937625692</v>
      </c>
      <c r="P11" s="14">
        <v>6.5808557464717143E-2</v>
      </c>
      <c r="Q11" s="14">
        <v>0.11665862476473485</v>
      </c>
      <c r="R11" s="14">
        <v>0.22391525544289317</v>
      </c>
      <c r="S11" s="44">
        <v>0.56411223428557544</v>
      </c>
      <c r="T11" s="14">
        <v>-2.2401473384584869E-2</v>
      </c>
      <c r="U11" s="14">
        <v>0.14881577941119359</v>
      </c>
      <c r="V11" s="14">
        <v>0.20090401195979105</v>
      </c>
      <c r="W11" s="44">
        <v>-0.15053157315184468</v>
      </c>
      <c r="X11" s="31" t="s">
        <v>112</v>
      </c>
      <c r="Y11" s="33">
        <v>8</v>
      </c>
      <c r="Z11" s="33" t="s">
        <v>114</v>
      </c>
      <c r="AA11" s="33" t="s">
        <v>112</v>
      </c>
      <c r="AB11" s="33" t="s">
        <v>114</v>
      </c>
      <c r="AC11" s="33" t="s">
        <v>114</v>
      </c>
      <c r="AD11" s="27" t="s">
        <v>112</v>
      </c>
      <c r="AE11" s="27" t="s">
        <v>33</v>
      </c>
    </row>
    <row r="12" spans="1:31" s="8" customFormat="1" ht="21.5" customHeight="1" x14ac:dyDescent="0.35">
      <c r="A12" s="12" t="s">
        <v>75</v>
      </c>
      <c r="B12" s="13" t="s">
        <v>101</v>
      </c>
      <c r="C12" s="32">
        <v>6.0526410575266532E-2</v>
      </c>
      <c r="D12" s="32">
        <v>1.8801939058171748</v>
      </c>
      <c r="E12" s="32">
        <v>0.17907956907609293</v>
      </c>
      <c r="F12" s="32">
        <v>0.51385041551246535</v>
      </c>
      <c r="G12" s="25">
        <v>0.33798613034158115</v>
      </c>
      <c r="H12" s="14">
        <v>7.906371261887557E-2</v>
      </c>
      <c r="I12" s="14">
        <v>0.16779039629428522</v>
      </c>
      <c r="J12" s="14">
        <v>0.3027305104867431</v>
      </c>
      <c r="K12" s="44">
        <v>0.47120523203370257</v>
      </c>
      <c r="L12" s="14">
        <v>7.2430478606487769E-2</v>
      </c>
      <c r="M12" s="14">
        <v>0.16685644474814754</v>
      </c>
      <c r="N12" s="14">
        <v>0.2587377420165955</v>
      </c>
      <c r="O12" s="44">
        <v>0.43408858864165573</v>
      </c>
      <c r="P12" s="14">
        <v>0.10218082068278878</v>
      </c>
      <c r="Q12" s="14">
        <v>0.15885791339797245</v>
      </c>
      <c r="R12" s="14">
        <v>0.2587377420165955</v>
      </c>
      <c r="S12" s="44">
        <v>0.64322147066608104</v>
      </c>
      <c r="T12" s="14">
        <v>0.17465638845586096</v>
      </c>
      <c r="U12" s="14">
        <v>0.18437507734368652</v>
      </c>
      <c r="V12" s="14">
        <v>0.19585379159847235</v>
      </c>
      <c r="W12" s="44">
        <v>0.94728848916109565</v>
      </c>
      <c r="X12" s="31" t="s">
        <v>112</v>
      </c>
      <c r="Y12" s="33">
        <v>9</v>
      </c>
      <c r="Z12" s="33" t="s">
        <v>114</v>
      </c>
      <c r="AA12" s="33" t="s">
        <v>114</v>
      </c>
      <c r="AB12" s="33" t="s">
        <v>114</v>
      </c>
      <c r="AC12" s="33" t="s">
        <v>114</v>
      </c>
      <c r="AD12" s="27" t="s">
        <v>114</v>
      </c>
      <c r="AE12" s="27" t="s">
        <v>33</v>
      </c>
    </row>
    <row r="13" spans="1:31" s="8" customFormat="1" ht="21.5" customHeight="1" x14ac:dyDescent="0.35">
      <c r="A13" s="12" t="s">
        <v>70</v>
      </c>
      <c r="B13" s="13" t="s">
        <v>117</v>
      </c>
      <c r="C13" s="32" t="s">
        <v>112</v>
      </c>
      <c r="D13" s="32" t="s">
        <v>112</v>
      </c>
      <c r="E13" s="32" t="s">
        <v>112</v>
      </c>
      <c r="F13" s="32" t="s">
        <v>112</v>
      </c>
      <c r="G13" s="25" t="s">
        <v>112</v>
      </c>
      <c r="H13" s="14" t="s">
        <v>112</v>
      </c>
      <c r="I13" s="14" t="s">
        <v>112</v>
      </c>
      <c r="J13" s="14" t="s">
        <v>112</v>
      </c>
      <c r="K13" s="44" t="s">
        <v>112</v>
      </c>
      <c r="L13" s="14">
        <v>2.0016800004600599E-2</v>
      </c>
      <c r="M13" s="14">
        <v>0.17038014633271234</v>
      </c>
      <c r="N13" s="14">
        <v>0.30951116908857368</v>
      </c>
      <c r="O13" s="44">
        <v>0.11748317180989208</v>
      </c>
      <c r="P13" s="14">
        <v>6.8348403677209513E-2</v>
      </c>
      <c r="Q13" s="14">
        <v>0.14947378530660249</v>
      </c>
      <c r="R13" s="14">
        <v>0.17563435908664959</v>
      </c>
      <c r="S13" s="44">
        <v>0.45726013786974362</v>
      </c>
      <c r="T13" s="14">
        <v>0.13136504248754655</v>
      </c>
      <c r="U13" s="14">
        <v>0.16390197130411271</v>
      </c>
      <c r="V13" s="14">
        <v>0.14931202594042595</v>
      </c>
      <c r="W13" s="44">
        <v>0.80148543328868593</v>
      </c>
      <c r="X13" s="31">
        <v>45107</v>
      </c>
      <c r="Y13" s="33">
        <v>9</v>
      </c>
      <c r="Z13" s="33" t="s">
        <v>114</v>
      </c>
      <c r="AA13" s="33" t="s">
        <v>112</v>
      </c>
      <c r="AB13" s="33" t="s">
        <v>113</v>
      </c>
      <c r="AC13" s="33" t="s">
        <v>114</v>
      </c>
      <c r="AD13" s="27" t="s">
        <v>112</v>
      </c>
      <c r="AE13" s="27" t="s">
        <v>33</v>
      </c>
    </row>
    <row r="14" spans="1:31" s="8" customFormat="1" ht="21.5" customHeight="1" x14ac:dyDescent="0.35">
      <c r="A14" s="12" t="s">
        <v>58</v>
      </c>
      <c r="B14" s="13" t="s">
        <v>102</v>
      </c>
      <c r="C14" s="32" t="s">
        <v>112</v>
      </c>
      <c r="D14" s="32" t="s">
        <v>112</v>
      </c>
      <c r="E14" s="32" t="s">
        <v>112</v>
      </c>
      <c r="F14" s="32" t="s">
        <v>112</v>
      </c>
      <c r="G14" s="25" t="s">
        <v>112</v>
      </c>
      <c r="H14" s="14" t="s">
        <v>112</v>
      </c>
      <c r="I14" s="14" t="s">
        <v>112</v>
      </c>
      <c r="J14" s="14" t="s">
        <v>112</v>
      </c>
      <c r="K14" s="44" t="s">
        <v>112</v>
      </c>
      <c r="L14" s="14" t="s">
        <v>112</v>
      </c>
      <c r="M14" s="14" t="s">
        <v>112</v>
      </c>
      <c r="N14" s="14" t="s">
        <v>112</v>
      </c>
      <c r="O14" s="44" t="s">
        <v>112</v>
      </c>
      <c r="P14" s="14">
        <v>3.3909890786338215E-2</v>
      </c>
      <c r="Q14" s="14">
        <v>3.9982026469417592E-2</v>
      </c>
      <c r="R14" s="14">
        <v>7.7114357032354905E-2</v>
      </c>
      <c r="S14" s="44">
        <v>0.848128366186642</v>
      </c>
      <c r="T14" s="14">
        <v>4.5598264673171407E-2</v>
      </c>
      <c r="U14" s="14">
        <v>3.1465409184235175E-2</v>
      </c>
      <c r="V14" s="14">
        <v>2.5682900571136494E-2</v>
      </c>
      <c r="W14" s="44">
        <v>1.4491553059483837</v>
      </c>
      <c r="X14" s="31" t="s">
        <v>112</v>
      </c>
      <c r="Y14" s="33">
        <v>9</v>
      </c>
      <c r="Z14" s="33" t="s">
        <v>113</v>
      </c>
      <c r="AA14" s="33" t="s">
        <v>112</v>
      </c>
      <c r="AB14" s="33" t="s">
        <v>114</v>
      </c>
      <c r="AC14" s="33" t="s">
        <v>114</v>
      </c>
      <c r="AD14" s="27" t="s">
        <v>112</v>
      </c>
      <c r="AE14" s="27" t="s">
        <v>33</v>
      </c>
    </row>
    <row r="15" spans="1:31" s="8" customFormat="1" ht="21.5" customHeight="1" x14ac:dyDescent="0.35">
      <c r="A15" s="12" t="s">
        <v>50</v>
      </c>
      <c r="B15" s="13" t="s">
        <v>103</v>
      </c>
      <c r="C15" s="32" t="s">
        <v>112</v>
      </c>
      <c r="D15" s="32" t="s">
        <v>112</v>
      </c>
      <c r="E15" s="32" t="s">
        <v>112</v>
      </c>
      <c r="F15" s="32" t="s">
        <v>112</v>
      </c>
      <c r="G15" s="25" t="s">
        <v>112</v>
      </c>
      <c r="H15" s="14" t="s">
        <v>112</v>
      </c>
      <c r="I15" s="14" t="s">
        <v>112</v>
      </c>
      <c r="J15" s="14" t="s">
        <v>112</v>
      </c>
      <c r="K15" s="44" t="s">
        <v>112</v>
      </c>
      <c r="L15" s="14">
        <v>7.0939729874351931E-2</v>
      </c>
      <c r="M15" s="14">
        <v>0.14908202678423413</v>
      </c>
      <c r="N15" s="14">
        <v>0.24459798699892102</v>
      </c>
      <c r="O15" s="44">
        <v>0.47584361042409723</v>
      </c>
      <c r="P15" s="14">
        <v>0.11010376597103755</v>
      </c>
      <c r="Q15" s="14">
        <v>0.12931359645101501</v>
      </c>
      <c r="R15" s="14">
        <v>0.19137961938865086</v>
      </c>
      <c r="S15" s="44">
        <v>0.85144771310065381</v>
      </c>
      <c r="T15" s="14">
        <v>9.3639340157856132E-3</v>
      </c>
      <c r="U15" s="14">
        <v>0.14502741154315082</v>
      </c>
      <c r="V15" s="14">
        <v>0.19137961938865086</v>
      </c>
      <c r="W15" s="44">
        <v>6.456664927098632E-2</v>
      </c>
      <c r="X15" s="31" t="s">
        <v>112</v>
      </c>
      <c r="Y15" s="33">
        <v>9</v>
      </c>
      <c r="Z15" s="33" t="s">
        <v>203</v>
      </c>
      <c r="AA15" s="33" t="s">
        <v>32</v>
      </c>
      <c r="AB15" s="33" t="s">
        <v>32</v>
      </c>
      <c r="AC15" s="33" t="s">
        <v>32</v>
      </c>
      <c r="AD15" s="27" t="s">
        <v>32</v>
      </c>
      <c r="AE15" s="27" t="s">
        <v>31</v>
      </c>
    </row>
    <row r="16" spans="1:31" s="8" customFormat="1" ht="21.5" customHeight="1" x14ac:dyDescent="0.35">
      <c r="A16" s="12" t="s">
        <v>59</v>
      </c>
      <c r="B16" s="13" t="s">
        <v>104</v>
      </c>
      <c r="C16" s="32">
        <v>4.6200676587774048E-2</v>
      </c>
      <c r="D16" s="32">
        <v>1.2547416612164812</v>
      </c>
      <c r="E16" s="32">
        <v>0.22591197496362425</v>
      </c>
      <c r="F16" s="32">
        <v>0.61223601132157635</v>
      </c>
      <c r="G16" s="25">
        <v>0.20450742637796496</v>
      </c>
      <c r="H16" s="14">
        <v>0.11125561710702292</v>
      </c>
      <c r="I16" s="14">
        <v>0.21672687791095555</v>
      </c>
      <c r="J16" s="14">
        <v>0.33871253768398657</v>
      </c>
      <c r="K16" s="44">
        <v>0.51334480605000654</v>
      </c>
      <c r="L16" s="14">
        <v>8.0731962512561095E-2</v>
      </c>
      <c r="M16" s="14">
        <v>0.23915303334184901</v>
      </c>
      <c r="N16" s="14">
        <v>0.28728581567474393</v>
      </c>
      <c r="O16" s="44">
        <v>0.33757448686490876</v>
      </c>
      <c r="P16" s="14">
        <v>0.15321424480533707</v>
      </c>
      <c r="Q16" s="14">
        <v>0.21658831284239879</v>
      </c>
      <c r="R16" s="14">
        <v>0.28728581567474393</v>
      </c>
      <c r="S16" s="44">
        <v>0.70739848699418939</v>
      </c>
      <c r="T16" s="14">
        <v>0.10486631183529016</v>
      </c>
      <c r="U16" s="14">
        <v>0.25016448388818796</v>
      </c>
      <c r="V16" s="14">
        <v>0.28728581567474393</v>
      </c>
      <c r="W16" s="44">
        <v>0.4191894477001803</v>
      </c>
      <c r="X16" s="31" t="s">
        <v>112</v>
      </c>
      <c r="Y16" s="33">
        <v>9</v>
      </c>
      <c r="Z16" s="33" t="s">
        <v>114</v>
      </c>
      <c r="AA16" s="33" t="s">
        <v>114</v>
      </c>
      <c r="AB16" s="33" t="s">
        <v>114</v>
      </c>
      <c r="AC16" s="33" t="s">
        <v>114</v>
      </c>
      <c r="AD16" s="27" t="s">
        <v>114</v>
      </c>
      <c r="AE16" s="27" t="s">
        <v>33</v>
      </c>
    </row>
    <row r="17" spans="1:31" s="8" customFormat="1" ht="21.5" customHeight="1" x14ac:dyDescent="0.35">
      <c r="A17" s="12" t="s">
        <v>42</v>
      </c>
      <c r="B17" s="13" t="s">
        <v>201</v>
      </c>
      <c r="C17" s="32">
        <v>7.2225362753150391E-2</v>
      </c>
      <c r="D17" s="32">
        <v>2.5090602612726505</v>
      </c>
      <c r="E17" s="32">
        <v>0.23426382199793649</v>
      </c>
      <c r="F17" s="32">
        <v>0.66610878661087858</v>
      </c>
      <c r="G17" s="25">
        <v>0.30830779647139278</v>
      </c>
      <c r="H17" s="14">
        <v>0.14508407370237975</v>
      </c>
      <c r="I17" s="14">
        <v>0.21237326872009107</v>
      </c>
      <c r="J17" s="14">
        <v>0.33449852110782463</v>
      </c>
      <c r="K17" s="44">
        <v>0.68315600441033475</v>
      </c>
      <c r="L17" s="14">
        <v>0.10303554555560335</v>
      </c>
      <c r="M17" s="14">
        <v>0.22224824116823291</v>
      </c>
      <c r="N17" s="14">
        <v>0.28659046557011425</v>
      </c>
      <c r="O17" s="44">
        <v>0.46360567361075139</v>
      </c>
      <c r="P17" s="14">
        <v>0.14843713969134176</v>
      </c>
      <c r="Q17" s="14">
        <v>0.21202222270778975</v>
      </c>
      <c r="R17" s="14">
        <v>0.28659046557011425</v>
      </c>
      <c r="S17" s="44">
        <v>0.70010179968690678</v>
      </c>
      <c r="T17" s="14">
        <v>0.24469401584857153</v>
      </c>
      <c r="U17" s="14">
        <v>0.2385396402546173</v>
      </c>
      <c r="V17" s="14">
        <v>0.28659046557011425</v>
      </c>
      <c r="W17" s="44">
        <v>1.0258002216628861</v>
      </c>
      <c r="X17" s="31" t="s">
        <v>112</v>
      </c>
      <c r="Y17" s="33">
        <v>9</v>
      </c>
      <c r="Z17" s="33" t="s">
        <v>114</v>
      </c>
      <c r="AA17" s="33" t="s">
        <v>114</v>
      </c>
      <c r="AB17" s="33" t="s">
        <v>113</v>
      </c>
      <c r="AC17" s="33" t="s">
        <v>114</v>
      </c>
      <c r="AD17" s="27" t="s">
        <v>114</v>
      </c>
      <c r="AE17" s="27" t="s">
        <v>33</v>
      </c>
    </row>
    <row r="18" spans="1:31" s="8" customFormat="1" ht="21.5" customHeight="1" x14ac:dyDescent="0.35">
      <c r="A18" s="12" t="s">
        <v>157</v>
      </c>
      <c r="B18" s="13" t="s">
        <v>202</v>
      </c>
      <c r="C18" s="32" t="s">
        <v>112</v>
      </c>
      <c r="D18" s="32" t="s">
        <v>112</v>
      </c>
      <c r="E18" s="32" t="s">
        <v>112</v>
      </c>
      <c r="F18" s="32" t="s">
        <v>112</v>
      </c>
      <c r="G18" s="25" t="s">
        <v>112</v>
      </c>
      <c r="H18" s="14" t="s">
        <v>112</v>
      </c>
      <c r="I18" s="14" t="s">
        <v>112</v>
      </c>
      <c r="J18" s="14" t="s">
        <v>112</v>
      </c>
      <c r="K18" s="44" t="s">
        <v>112</v>
      </c>
      <c r="L18" s="14">
        <v>0.10817357383245629</v>
      </c>
      <c r="M18" s="14">
        <v>0.15469483039212664</v>
      </c>
      <c r="N18" s="14">
        <v>0.23109540636042247</v>
      </c>
      <c r="O18" s="44">
        <v>0.69927077432551299</v>
      </c>
      <c r="P18" s="14">
        <v>0.14805574035814573</v>
      </c>
      <c r="Q18" s="14">
        <v>0.13604294674542242</v>
      </c>
      <c r="R18" s="14">
        <v>0.15573302909298389</v>
      </c>
      <c r="S18" s="44">
        <v>1.0883014805258731</v>
      </c>
      <c r="T18" s="14">
        <v>0.18986237999850308</v>
      </c>
      <c r="U18" s="14">
        <v>0.15419479721233409</v>
      </c>
      <c r="V18" s="14">
        <v>0.15573302909298389</v>
      </c>
      <c r="W18" s="44">
        <v>1.2313150860534738</v>
      </c>
      <c r="X18" s="31" t="s">
        <v>112</v>
      </c>
      <c r="Y18" s="33">
        <v>8</v>
      </c>
      <c r="Z18" s="33" t="s">
        <v>114</v>
      </c>
      <c r="AA18" s="33" t="s">
        <v>114</v>
      </c>
      <c r="AB18" s="33" t="s">
        <v>114</v>
      </c>
      <c r="AC18" s="33" t="s">
        <v>114</v>
      </c>
      <c r="AD18" s="27" t="s">
        <v>114</v>
      </c>
      <c r="AE18" s="27" t="s">
        <v>105</v>
      </c>
    </row>
    <row r="19" spans="1:31" s="8" customFormat="1" ht="21.5" customHeight="1" x14ac:dyDescent="0.35">
      <c r="A19" s="12"/>
      <c r="B19" s="13"/>
      <c r="C19" s="32"/>
      <c r="D19" s="32"/>
      <c r="E19" s="32"/>
      <c r="F19" s="32"/>
      <c r="G19" s="25"/>
      <c r="H19" s="14"/>
      <c r="I19" s="14"/>
      <c r="J19" s="14"/>
      <c r="K19" s="44"/>
      <c r="L19" s="14"/>
      <c r="M19" s="14"/>
      <c r="N19" s="14"/>
      <c r="O19" s="44"/>
      <c r="P19" s="14"/>
      <c r="Q19" s="14"/>
      <c r="R19" s="14"/>
      <c r="S19" s="44"/>
      <c r="T19" s="14"/>
      <c r="U19" s="14"/>
      <c r="V19" s="14"/>
      <c r="W19" s="44"/>
      <c r="X19" s="31"/>
      <c r="Y19" s="33"/>
      <c r="Z19" s="33"/>
      <c r="AA19" s="33"/>
      <c r="AB19" s="33"/>
      <c r="AC19" s="33"/>
      <c r="AD19" s="27"/>
      <c r="AE19" s="27"/>
    </row>
    <row r="20" spans="1:31" s="8" customFormat="1" ht="21.75" customHeight="1" x14ac:dyDescent="0.35">
      <c r="A20" s="36" t="s">
        <v>2</v>
      </c>
      <c r="B20" s="36" t="s">
        <v>3</v>
      </c>
      <c r="C20" s="37">
        <f>AVERAGE(Table113[Performance annualisée depuis 01/08])</f>
        <v>5.6119589572104611E-2</v>
      </c>
      <c r="D20" s="37">
        <f>AVERAGE(Table113[Perf. Totale depuis 01/08])</f>
        <v>1.7181755485728731</v>
      </c>
      <c r="E20" s="37">
        <f>AVERAGE(Table113[Volatilité annualisée depuis 01/08])</f>
        <v>0.19435020565194183</v>
      </c>
      <c r="F20" s="37">
        <f>AVERAGE(Table113[Max Drawdown depuis 01/08])</f>
        <v>0.55870546177343361</v>
      </c>
      <c r="G20" s="34">
        <f>AVERAGE(Table113[Couple Rendement / Risque depuis 01/08])</f>
        <v>0.29508797069359549</v>
      </c>
      <c r="H20" s="37">
        <f>AVERAGE(Table113[Performance annualisée 10 ans])</f>
        <v>8.8396894226530562E-2</v>
      </c>
      <c r="I20" s="37">
        <f>AVERAGE(Table113[Volatilité annualisée 10 ans])</f>
        <v>0.16510751301992255</v>
      </c>
      <c r="J20" s="37">
        <f>AVERAGE(Table113[Max Drawdown 10 ans])</f>
        <v>0.32678206831816164</v>
      </c>
      <c r="K20" s="42">
        <f>AVERAGE(Table113[Couple Rendement Risque 10 ans])</f>
        <v>0.524881240326034</v>
      </c>
      <c r="L20" s="37">
        <f>AVERAGE(Table113[Performance annualisée 5 ans])</f>
        <v>6.5652714588305475E-2</v>
      </c>
      <c r="M20" s="37">
        <f>AVERAGE(Table113[Volatilité annualisée 5 ans])</f>
        <v>0.16040680670131258</v>
      </c>
      <c r="N20" s="37">
        <f>AVERAGE(Table113[Max Drawdown 5 ans])</f>
        <v>0.2599734118049461</v>
      </c>
      <c r="O20" s="42">
        <f>AVERAGE(Table113[Couple Rendement Risque 5 ans])</f>
        <v>0.42099113110192959</v>
      </c>
      <c r="P20" s="37">
        <f>AVERAGE(Table113[Performance annualisée 3 ans])</f>
        <v>9.0019761018585734E-2</v>
      </c>
      <c r="Q20" s="37">
        <f>AVERAGE(Table113[Volatilité annualisée 3 ans])</f>
        <v>0.13815813498937687</v>
      </c>
      <c r="R20" s="37">
        <f>AVERAGE(Table113[Max Drawdown 3 ans])</f>
        <v>0.20430013452406662</v>
      </c>
      <c r="S20" s="42">
        <f>AVERAGE(Table113[Couple Rendement Risque 3 ans])</f>
        <v>0.66871866912443323</v>
      </c>
      <c r="T20" s="37">
        <f>AVERAGE(Table113[Performance annualisée 1 an])</f>
        <v>0.10824270817612811</v>
      </c>
      <c r="U20" s="37">
        <f>AVERAGE(Table113[Volatilité annualisée 1 an])</f>
        <v>0.15670425913015346</v>
      </c>
      <c r="V20" s="37">
        <f>AVERAGE(Table113[Max Drawdown 1 an])</f>
        <v>0.18146353345406721</v>
      </c>
      <c r="W20" s="42">
        <f>AVERAGE(Table113[Couple Rendement Risque 1 an])</f>
        <v>0.71332404588081688</v>
      </c>
      <c r="X20" s="38"/>
      <c r="Y20" s="37"/>
      <c r="Z20" s="37"/>
      <c r="AA20" s="37"/>
      <c r="AB20" s="37"/>
      <c r="AC20" s="37"/>
      <c r="AD20" s="37"/>
      <c r="AE20" s="37"/>
    </row>
    <row r="21" spans="1:31" s="1" customFormat="1" ht="21.75" customHeight="1" x14ac:dyDescent="0.35">
      <c r="A21" s="7"/>
      <c r="B21" s="2"/>
      <c r="C21" s="2"/>
      <c r="D21" s="2"/>
      <c r="E21" s="5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31" ht="21.75" customHeight="1" x14ac:dyDescent="0.35">
      <c r="E22" s="2"/>
      <c r="F22" s="2"/>
    </row>
    <row r="23" spans="1:31" ht="21.75" customHeight="1" x14ac:dyDescent="0.35">
      <c r="E23" s="2"/>
      <c r="F23" s="2"/>
    </row>
    <row r="24" spans="1:31" ht="21.75" customHeight="1" x14ac:dyDescent="0.35">
      <c r="E24" s="2"/>
      <c r="F24" s="2"/>
    </row>
    <row r="25" spans="1:31" x14ac:dyDescent="0.35">
      <c r="E25" s="2"/>
      <c r="F25" s="2"/>
      <c r="AB25" s="6"/>
    </row>
    <row r="26" spans="1:31" x14ac:dyDescent="0.35">
      <c r="E26" s="2"/>
      <c r="F26" s="2"/>
    </row>
    <row r="27" spans="1:31" x14ac:dyDescent="0.35">
      <c r="E27" s="2"/>
      <c r="F27" s="2"/>
    </row>
    <row r="28" spans="1:31" x14ac:dyDescent="0.35">
      <c r="E28" s="2"/>
      <c r="F28" s="2"/>
    </row>
    <row r="29" spans="1:31" x14ac:dyDescent="0.35">
      <c r="E29" s="2"/>
      <c r="F29" s="2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</sheetData>
  <sheetProtection selectLockedCells="1"/>
  <conditionalFormatting sqref="C4:C19">
    <cfRule type="iconSet" priority="519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9">
    <cfRule type="iconSet" priority="519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9">
    <cfRule type="iconSet" priority="51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9">
    <cfRule type="iconSet" priority="519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9">
    <cfRule type="iconSet" priority="519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8:X28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9">
    <cfRule type="iconSet" priority="520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9">
    <cfRule type="iconSet" priority="520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9">
    <cfRule type="iconSet" priority="520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9">
    <cfRule type="iconSet" priority="520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9">
    <cfRule type="iconSet" priority="520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9">
    <cfRule type="iconSet" priority="521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9">
    <cfRule type="iconSet" priority="52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9">
    <cfRule type="iconSet" priority="521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9">
    <cfRule type="iconSet" priority="521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9">
    <cfRule type="iconSet" priority="521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9">
    <cfRule type="iconSet" priority="522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9">
    <cfRule type="iconSet" priority="52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9">
    <cfRule type="iconSet" priority="522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9">
    <cfRule type="iconSet" priority="522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9">
    <cfRule type="iconSet" priority="522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9">
    <cfRule type="iconSet" priority="523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33" orientation="landscape" horizontalDpi="4294967292" verticalDpi="4294967292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C83B-BEF1-4263-BF43-64C7DC058301}">
  <sheetPr codeName="Feuil15">
    <tabColor rgb="FF008000"/>
    <pageSetUpPr fitToPage="1"/>
  </sheetPr>
  <dimension ref="A1:AE42"/>
  <sheetViews>
    <sheetView showGridLines="0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26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2"/>
      <c r="T2" s="4"/>
      <c r="U2" s="4"/>
      <c r="V2" s="22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250</v>
      </c>
      <c r="B4" s="13" t="s">
        <v>261</v>
      </c>
      <c r="C4" s="30" t="s">
        <v>112</v>
      </c>
      <c r="D4" s="30" t="s">
        <v>112</v>
      </c>
      <c r="E4" s="30" t="s">
        <v>112</v>
      </c>
      <c r="F4" s="30" t="s">
        <v>112</v>
      </c>
      <c r="G4" s="24" t="s">
        <v>112</v>
      </c>
      <c r="H4" s="21" t="s">
        <v>112</v>
      </c>
      <c r="I4" s="21" t="s">
        <v>112</v>
      </c>
      <c r="J4" s="21" t="s">
        <v>112</v>
      </c>
      <c r="K4" s="39" t="s">
        <v>112</v>
      </c>
      <c r="L4" s="21">
        <v>-9.6641266648515023E-3</v>
      </c>
      <c r="M4" s="21">
        <v>0.14832943919086211</v>
      </c>
      <c r="N4" s="21">
        <v>0.3615693012600229</v>
      </c>
      <c r="O4" s="41">
        <v>-6.5153126160048647E-2</v>
      </c>
      <c r="P4" s="21">
        <v>2.0627590131186535E-2</v>
      </c>
      <c r="Q4" s="21">
        <v>0.12643932839562128</v>
      </c>
      <c r="R4" s="21">
        <v>0.20374753451676525</v>
      </c>
      <c r="S4" s="41">
        <v>0.16314219944797564</v>
      </c>
      <c r="T4" s="21">
        <v>-5.7987163163619293E-2</v>
      </c>
      <c r="U4" s="21">
        <v>0.13340464920614742</v>
      </c>
      <c r="V4" s="21">
        <v>0.20374753451676525</v>
      </c>
      <c r="W4" s="41">
        <v>-0.43467123154016124</v>
      </c>
      <c r="X4" s="31"/>
      <c r="Y4" s="33">
        <v>9</v>
      </c>
      <c r="Z4" s="33" t="s">
        <v>113</v>
      </c>
      <c r="AA4" s="33" t="s">
        <v>114</v>
      </c>
      <c r="AB4" s="33" t="s">
        <v>114</v>
      </c>
      <c r="AC4" s="33" t="s">
        <v>114</v>
      </c>
      <c r="AD4" s="47" t="s">
        <v>114</v>
      </c>
      <c r="AE4" s="47" t="s">
        <v>33</v>
      </c>
    </row>
    <row r="5" spans="1:31" s="8" customFormat="1" ht="21.75" customHeight="1" x14ac:dyDescent="0.35">
      <c r="A5" s="12" t="s">
        <v>27</v>
      </c>
      <c r="B5" s="13" t="s">
        <v>40</v>
      </c>
      <c r="C5" s="30" t="s">
        <v>112</v>
      </c>
      <c r="D5" s="30" t="s">
        <v>112</v>
      </c>
      <c r="E5" s="30" t="s">
        <v>112</v>
      </c>
      <c r="F5" s="30" t="s">
        <v>112</v>
      </c>
      <c r="G5" s="24" t="s">
        <v>112</v>
      </c>
      <c r="H5" s="21">
        <v>7.2988456964259152E-2</v>
      </c>
      <c r="I5" s="21">
        <v>0.14321742952132588</v>
      </c>
      <c r="J5" s="21">
        <v>0.29055966102643288</v>
      </c>
      <c r="K5" s="39">
        <v>0.50963389866867259</v>
      </c>
      <c r="L5" s="21">
        <v>9.8272599285034401E-2</v>
      </c>
      <c r="M5" s="21">
        <v>0.13438081790237971</v>
      </c>
      <c r="N5" s="21">
        <v>0.18496847414880196</v>
      </c>
      <c r="O5" s="41">
        <v>0.7312993090756752</v>
      </c>
      <c r="P5" s="21">
        <v>0.12345342738770748</v>
      </c>
      <c r="Q5" s="21">
        <v>0.12267404347260676</v>
      </c>
      <c r="R5" s="21">
        <v>0.18496847414880196</v>
      </c>
      <c r="S5" s="41">
        <v>1.0063532911530284</v>
      </c>
      <c r="T5" s="21">
        <v>2.1413726695759694E-2</v>
      </c>
      <c r="U5" s="21">
        <v>0.14360282120572873</v>
      </c>
      <c r="V5" s="21">
        <v>0.18496847414880196</v>
      </c>
      <c r="W5" s="41">
        <v>0.14911772983263255</v>
      </c>
      <c r="X5" s="31">
        <v>45291</v>
      </c>
      <c r="Y5" s="33">
        <v>8</v>
      </c>
      <c r="Z5" s="33" t="s">
        <v>113</v>
      </c>
      <c r="AA5" s="33" t="s">
        <v>114</v>
      </c>
      <c r="AB5" s="33" t="s">
        <v>114</v>
      </c>
      <c r="AC5" s="33" t="s">
        <v>114</v>
      </c>
      <c r="AD5" s="47" t="s">
        <v>114</v>
      </c>
      <c r="AE5" s="47" t="s">
        <v>33</v>
      </c>
    </row>
    <row r="6" spans="1:31" s="8" customFormat="1" ht="21.5" customHeight="1" x14ac:dyDescent="0.35">
      <c r="A6" s="12" t="s">
        <v>34</v>
      </c>
      <c r="B6" s="13" t="s">
        <v>106</v>
      </c>
      <c r="C6" s="30" t="s">
        <v>112</v>
      </c>
      <c r="D6" s="30" t="s">
        <v>112</v>
      </c>
      <c r="E6" s="30" t="s">
        <v>112</v>
      </c>
      <c r="F6" s="30" t="s">
        <v>112</v>
      </c>
      <c r="G6" s="24" t="s">
        <v>112</v>
      </c>
      <c r="H6" s="21" t="s">
        <v>112</v>
      </c>
      <c r="I6" s="21" t="s">
        <v>112</v>
      </c>
      <c r="J6" s="21" t="s">
        <v>112</v>
      </c>
      <c r="K6" s="39" t="s">
        <v>112</v>
      </c>
      <c r="L6" s="21" t="s">
        <v>112</v>
      </c>
      <c r="M6" s="21" t="s">
        <v>112</v>
      </c>
      <c r="N6" s="21" t="s">
        <v>112</v>
      </c>
      <c r="O6" s="41" t="s">
        <v>112</v>
      </c>
      <c r="P6" s="21">
        <v>0.1343755461292222</v>
      </c>
      <c r="Q6" s="21">
        <v>0.1179517077723006</v>
      </c>
      <c r="R6" s="21">
        <v>0.19729974250121438</v>
      </c>
      <c r="S6" s="41">
        <v>1.1392420564916867</v>
      </c>
      <c r="T6" s="21">
        <v>-1.0895164675719382E-3</v>
      </c>
      <c r="U6" s="21">
        <v>0.13748770942449046</v>
      </c>
      <c r="V6" s="21">
        <v>0.19729974250121438</v>
      </c>
      <c r="W6" s="41">
        <v>-7.9244644640058606E-3</v>
      </c>
      <c r="X6" s="31">
        <v>44286</v>
      </c>
      <c r="Y6" s="33">
        <v>9</v>
      </c>
      <c r="Z6" s="33" t="s">
        <v>113</v>
      </c>
      <c r="AA6" s="33" t="s">
        <v>112</v>
      </c>
      <c r="AB6" s="33" t="s">
        <v>114</v>
      </c>
      <c r="AC6" s="33" t="s">
        <v>114</v>
      </c>
      <c r="AD6" s="47" t="s">
        <v>112</v>
      </c>
      <c r="AE6" s="47" t="s">
        <v>33</v>
      </c>
    </row>
    <row r="7" spans="1:31" s="8" customFormat="1" ht="21.5" customHeight="1" x14ac:dyDescent="0.35">
      <c r="A7" s="12" t="s">
        <v>138</v>
      </c>
      <c r="B7" s="13" t="s">
        <v>148</v>
      </c>
      <c r="C7" s="32">
        <v>3.5372493117132198E-2</v>
      </c>
      <c r="D7" s="32">
        <v>0.86964812030075178</v>
      </c>
      <c r="E7" s="32">
        <v>0.18931680278137292</v>
      </c>
      <c r="F7" s="32">
        <v>0.54081203007518797</v>
      </c>
      <c r="G7" s="25">
        <v>0.18684286126457095</v>
      </c>
      <c r="H7" s="14">
        <v>6.0153677169499042E-2</v>
      </c>
      <c r="I7" s="14">
        <v>0.15571419065511719</v>
      </c>
      <c r="J7" s="14">
        <v>0.32418446508113619</v>
      </c>
      <c r="K7" s="40">
        <v>0.38630825434998484</v>
      </c>
      <c r="L7" s="14">
        <v>7.6728712147290157E-2</v>
      </c>
      <c r="M7" s="14">
        <v>0.13970879572822759</v>
      </c>
      <c r="N7" s="14">
        <v>0.25421264285119244</v>
      </c>
      <c r="O7" s="44">
        <v>0.54920459193241355</v>
      </c>
      <c r="P7" s="14">
        <v>0.12794119300348084</v>
      </c>
      <c r="Q7" s="14">
        <v>0.12149920580015175</v>
      </c>
      <c r="R7" s="14">
        <v>0.13736516143742861</v>
      </c>
      <c r="S7" s="44">
        <v>1.0530208173864544</v>
      </c>
      <c r="T7" s="14">
        <v>0.14520487489080836</v>
      </c>
      <c r="U7" s="14">
        <v>0.14095563770703923</v>
      </c>
      <c r="V7" s="14">
        <v>0.13736516143742861</v>
      </c>
      <c r="W7" s="44">
        <v>1.0301459186229975</v>
      </c>
      <c r="X7" s="31">
        <v>44012</v>
      </c>
      <c r="Y7" s="33">
        <v>8</v>
      </c>
      <c r="Z7" s="33" t="s">
        <v>30</v>
      </c>
      <c r="AA7" s="33" t="s">
        <v>32</v>
      </c>
      <c r="AB7" s="33" t="s">
        <v>32</v>
      </c>
      <c r="AC7" s="33" t="s">
        <v>30</v>
      </c>
      <c r="AD7" s="47" t="s">
        <v>32</v>
      </c>
      <c r="AE7" s="47" t="s">
        <v>31</v>
      </c>
    </row>
    <row r="8" spans="1:31" s="8" customFormat="1" ht="21.5" customHeight="1" x14ac:dyDescent="0.35">
      <c r="A8" s="12" t="s">
        <v>48</v>
      </c>
      <c r="B8" s="13" t="s">
        <v>107</v>
      </c>
      <c r="C8" s="32" t="s">
        <v>112</v>
      </c>
      <c r="D8" s="32" t="s">
        <v>112</v>
      </c>
      <c r="E8" s="32" t="s">
        <v>112</v>
      </c>
      <c r="F8" s="32" t="s">
        <v>112</v>
      </c>
      <c r="G8" s="25" t="s">
        <v>112</v>
      </c>
      <c r="H8" s="14">
        <v>9.2065096659226908E-2</v>
      </c>
      <c r="I8" s="14">
        <v>0.13791153416714719</v>
      </c>
      <c r="J8" s="14">
        <v>0.33198753384882351</v>
      </c>
      <c r="K8" s="40">
        <v>0.66756632949674155</v>
      </c>
      <c r="L8" s="14">
        <v>5.1126944262756435E-2</v>
      </c>
      <c r="M8" s="14">
        <v>0.14696085205937728</v>
      </c>
      <c r="N8" s="14">
        <v>0.33198753384882351</v>
      </c>
      <c r="O8" s="44">
        <v>0.34789499071561841</v>
      </c>
      <c r="P8" s="14">
        <v>0.14133905569215943</v>
      </c>
      <c r="Q8" s="14">
        <v>0.12972986897440222</v>
      </c>
      <c r="R8" s="14">
        <v>0.20029294073758283</v>
      </c>
      <c r="S8" s="44">
        <v>1.0894873848985995</v>
      </c>
      <c r="T8" s="14">
        <v>0.13384973003968503</v>
      </c>
      <c r="U8" s="14">
        <v>0.16587082754284035</v>
      </c>
      <c r="V8" s="14">
        <v>0.20029294073758283</v>
      </c>
      <c r="W8" s="44">
        <v>0.80695160217437834</v>
      </c>
      <c r="X8" s="31" t="s">
        <v>112</v>
      </c>
      <c r="Y8" s="33">
        <v>8</v>
      </c>
      <c r="Z8" s="33" t="s">
        <v>114</v>
      </c>
      <c r="AA8" s="33" t="s">
        <v>112</v>
      </c>
      <c r="AB8" s="33" t="s">
        <v>114</v>
      </c>
      <c r="AC8" s="33" t="s">
        <v>114</v>
      </c>
      <c r="AD8" s="47" t="s">
        <v>112</v>
      </c>
      <c r="AE8" s="47" t="s">
        <v>33</v>
      </c>
    </row>
    <row r="9" spans="1:31" s="8" customFormat="1" ht="21.5" customHeight="1" x14ac:dyDescent="0.35">
      <c r="A9" s="12" t="s">
        <v>58</v>
      </c>
      <c r="B9" s="13" t="s">
        <v>108</v>
      </c>
      <c r="C9" s="32" t="s">
        <v>112</v>
      </c>
      <c r="D9" s="32" t="s">
        <v>112</v>
      </c>
      <c r="E9" s="32" t="s">
        <v>112</v>
      </c>
      <c r="F9" s="32" t="s">
        <v>112</v>
      </c>
      <c r="G9" s="25" t="s">
        <v>112</v>
      </c>
      <c r="H9" s="14" t="s">
        <v>112</v>
      </c>
      <c r="I9" s="14" t="s">
        <v>112</v>
      </c>
      <c r="J9" s="14" t="s">
        <v>112</v>
      </c>
      <c r="K9" s="40" t="s">
        <v>112</v>
      </c>
      <c r="L9" s="14" t="s">
        <v>112</v>
      </c>
      <c r="M9" s="14" t="s">
        <v>112</v>
      </c>
      <c r="N9" s="14" t="s">
        <v>112</v>
      </c>
      <c r="O9" s="44" t="s">
        <v>112</v>
      </c>
      <c r="P9" s="14">
        <v>0.11087861801575372</v>
      </c>
      <c r="Q9" s="14">
        <v>0.11350403260428087</v>
      </c>
      <c r="R9" s="14">
        <v>0.17054431004690196</v>
      </c>
      <c r="S9" s="44">
        <v>0.97686941575300357</v>
      </c>
      <c r="T9" s="14">
        <v>6.6907475070947298E-2</v>
      </c>
      <c r="U9" s="14">
        <v>0.1292470987813123</v>
      </c>
      <c r="V9" s="14">
        <v>0.17054431004690196</v>
      </c>
      <c r="W9" s="44">
        <v>0.51767100152983381</v>
      </c>
      <c r="X9" s="31" t="s">
        <v>112</v>
      </c>
      <c r="Y9" s="33">
        <v>9</v>
      </c>
      <c r="Z9" s="33" t="s">
        <v>113</v>
      </c>
      <c r="AA9" s="33" t="s">
        <v>112</v>
      </c>
      <c r="AB9" s="33" t="s">
        <v>114</v>
      </c>
      <c r="AC9" s="33" t="s">
        <v>114</v>
      </c>
      <c r="AD9" s="47" t="s">
        <v>112</v>
      </c>
      <c r="AE9" s="47" t="s">
        <v>33</v>
      </c>
    </row>
    <row r="10" spans="1:31" s="8" customFormat="1" ht="21.5" customHeight="1" x14ac:dyDescent="0.35">
      <c r="A10" s="12" t="s">
        <v>50</v>
      </c>
      <c r="B10" s="13" t="s">
        <v>109</v>
      </c>
      <c r="C10" s="32" t="s">
        <v>112</v>
      </c>
      <c r="D10" s="32" t="s">
        <v>112</v>
      </c>
      <c r="E10" s="32" t="s">
        <v>112</v>
      </c>
      <c r="F10" s="32" t="s">
        <v>112</v>
      </c>
      <c r="G10" s="25" t="s">
        <v>112</v>
      </c>
      <c r="H10" s="14">
        <v>3.8247397024652185E-2</v>
      </c>
      <c r="I10" s="14">
        <v>0.14120893945477392</v>
      </c>
      <c r="J10" s="14">
        <v>0.2913728658960833</v>
      </c>
      <c r="K10" s="40">
        <v>0.27085676850439044</v>
      </c>
      <c r="L10" s="14">
        <v>1.0952912132845993E-2</v>
      </c>
      <c r="M10" s="14">
        <v>0.13874117752425888</v>
      </c>
      <c r="N10" s="14">
        <v>0.25444661561302628</v>
      </c>
      <c r="O10" s="44">
        <v>7.8944927009365173E-2</v>
      </c>
      <c r="P10" s="14">
        <v>2.0404023483655997E-2</v>
      </c>
      <c r="Q10" s="14">
        <v>0.12445905065724443</v>
      </c>
      <c r="R10" s="14">
        <v>0.20615593130842133</v>
      </c>
      <c r="S10" s="44">
        <v>0.16394166093913021</v>
      </c>
      <c r="T10" s="14">
        <v>8.2388342227923683E-3</v>
      </c>
      <c r="U10" s="14">
        <v>0.12923432678110977</v>
      </c>
      <c r="V10" s="14">
        <v>0.14663482926093088</v>
      </c>
      <c r="W10" s="44">
        <v>6.3751128883480529E-2</v>
      </c>
      <c r="X10" s="31" t="s">
        <v>112</v>
      </c>
      <c r="Y10" s="33">
        <v>9</v>
      </c>
      <c r="Z10" s="33" t="s">
        <v>113</v>
      </c>
      <c r="AA10" s="33" t="s">
        <v>30</v>
      </c>
      <c r="AB10" s="33" t="s">
        <v>204</v>
      </c>
      <c r="AC10" s="33" t="s">
        <v>30</v>
      </c>
      <c r="AD10" s="47" t="s">
        <v>32</v>
      </c>
      <c r="AE10" s="47" t="s">
        <v>31</v>
      </c>
    </row>
    <row r="11" spans="1:31" s="8" customFormat="1" ht="21.5" customHeight="1" x14ac:dyDescent="0.35">
      <c r="A11" s="12" t="s">
        <v>59</v>
      </c>
      <c r="B11" s="13" t="s">
        <v>244</v>
      </c>
      <c r="C11" s="32">
        <v>8.1000914602250784E-2</v>
      </c>
      <c r="D11" s="32">
        <v>3.0636417206835596</v>
      </c>
      <c r="E11" s="32">
        <v>0.16661031912286103</v>
      </c>
      <c r="F11" s="32">
        <v>0.38622881355932209</v>
      </c>
      <c r="G11" s="25">
        <v>0.48616985447653727</v>
      </c>
      <c r="H11" s="14">
        <v>3.2252007563701834E-2</v>
      </c>
      <c r="I11" s="14">
        <v>0.1597338620711041</v>
      </c>
      <c r="J11" s="14">
        <v>0.28018641010222495</v>
      </c>
      <c r="K11" s="40">
        <v>0.20191089819981403</v>
      </c>
      <c r="L11" s="14">
        <v>1.7864241412439474E-2</v>
      </c>
      <c r="M11" s="14">
        <v>0.14491720249185941</v>
      </c>
      <c r="N11" s="14">
        <v>0.23588171992701068</v>
      </c>
      <c r="O11" s="44">
        <v>0.12327205538930398</v>
      </c>
      <c r="P11" s="14">
        <v>9.1637811431979355E-3</v>
      </c>
      <c r="Q11" s="14">
        <v>0.14120211152476753</v>
      </c>
      <c r="R11" s="14">
        <v>0.23588171992701068</v>
      </c>
      <c r="S11" s="44">
        <v>6.4898329382210157E-2</v>
      </c>
      <c r="T11" s="14">
        <v>-0.13490627860882276</v>
      </c>
      <c r="U11" s="14">
        <v>0.17607856256728641</v>
      </c>
      <c r="V11" s="14">
        <v>0.23588171992701068</v>
      </c>
      <c r="W11" s="44">
        <v>-0.76617094461609925</v>
      </c>
      <c r="X11" s="31" t="s">
        <v>112</v>
      </c>
      <c r="Y11" s="33">
        <v>8</v>
      </c>
      <c r="Z11" s="35" t="s">
        <v>114</v>
      </c>
      <c r="AA11" s="33" t="s">
        <v>114</v>
      </c>
      <c r="AB11" s="35" t="s">
        <v>114</v>
      </c>
      <c r="AC11" s="33" t="s">
        <v>114</v>
      </c>
      <c r="AD11" s="47" t="s">
        <v>114</v>
      </c>
      <c r="AE11" s="47" t="s">
        <v>33</v>
      </c>
    </row>
    <row r="12" spans="1:31" s="8" customFormat="1" ht="21.5" customHeight="1" x14ac:dyDescent="0.35">
      <c r="A12" s="12" t="s">
        <v>157</v>
      </c>
      <c r="B12" s="13" t="s">
        <v>151</v>
      </c>
      <c r="C12" s="32" t="s">
        <v>112</v>
      </c>
      <c r="D12" s="32" t="s">
        <v>112</v>
      </c>
      <c r="E12" s="32" t="s">
        <v>112</v>
      </c>
      <c r="F12" s="32" t="s">
        <v>112</v>
      </c>
      <c r="G12" s="25" t="s">
        <v>112</v>
      </c>
      <c r="H12" s="14">
        <v>5.4006351010721154E-2</v>
      </c>
      <c r="I12" s="14">
        <v>0.15770456147583276</v>
      </c>
      <c r="J12" s="14">
        <v>0.35416666666666674</v>
      </c>
      <c r="K12" s="40">
        <v>0.34245268814876539</v>
      </c>
      <c r="L12" s="14">
        <v>9.4327065640160912E-2</v>
      </c>
      <c r="M12" s="14">
        <v>0.13964651616503182</v>
      </c>
      <c r="N12" s="14">
        <v>0.22046285018270406</v>
      </c>
      <c r="O12" s="44">
        <v>0.6754702389330417</v>
      </c>
      <c r="P12" s="14">
        <v>0.13703385790506739</v>
      </c>
      <c r="Q12" s="14">
        <v>0.12481819818674388</v>
      </c>
      <c r="R12" s="14">
        <v>0.14680744092508807</v>
      </c>
      <c r="S12" s="44">
        <v>1.097867617829632</v>
      </c>
      <c r="T12" s="14">
        <v>0.17624179021748088</v>
      </c>
      <c r="U12" s="14">
        <v>0.14169087291604587</v>
      </c>
      <c r="V12" s="14">
        <v>0.14680744092508807</v>
      </c>
      <c r="W12" s="44">
        <v>1.2438471624203133</v>
      </c>
      <c r="X12" s="31" t="s">
        <v>112</v>
      </c>
      <c r="Y12" s="33">
        <v>8</v>
      </c>
      <c r="Z12" s="35" t="s">
        <v>114</v>
      </c>
      <c r="AA12" s="33" t="s">
        <v>113</v>
      </c>
      <c r="AB12" s="33" t="s">
        <v>114</v>
      </c>
      <c r="AC12" s="33" t="s">
        <v>114</v>
      </c>
      <c r="AD12" s="47" t="s">
        <v>114</v>
      </c>
      <c r="AE12" s="47" t="s">
        <v>105</v>
      </c>
    </row>
    <row r="13" spans="1:31" s="1" customFormat="1" ht="21.75" customHeight="1" x14ac:dyDescent="0.35">
      <c r="A13" s="12"/>
      <c r="B13" s="13"/>
      <c r="C13" s="14"/>
      <c r="D13" s="14"/>
      <c r="E13" s="14"/>
      <c r="F13" s="14"/>
      <c r="G13" s="25"/>
      <c r="H13" s="14"/>
      <c r="I13" s="14"/>
      <c r="J13" s="14"/>
      <c r="K13" s="25"/>
      <c r="L13" s="14"/>
      <c r="M13" s="14"/>
      <c r="N13" s="14"/>
      <c r="O13" s="25"/>
      <c r="P13" s="14"/>
      <c r="Q13" s="14"/>
      <c r="R13" s="14"/>
      <c r="S13" s="25"/>
      <c r="T13" s="14"/>
      <c r="U13" s="14"/>
      <c r="V13" s="14"/>
      <c r="W13" s="25"/>
      <c r="X13" s="16"/>
      <c r="Y13" s="28"/>
      <c r="Z13" s="15"/>
      <c r="AA13" s="15"/>
      <c r="AB13" s="15"/>
      <c r="AC13" s="15"/>
      <c r="AD13" s="27"/>
      <c r="AE13" s="8"/>
    </row>
    <row r="14" spans="1:31" ht="21.75" customHeight="1" x14ac:dyDescent="0.35">
      <c r="A14" s="36" t="s">
        <v>2</v>
      </c>
      <c r="B14" s="36" t="s">
        <v>3</v>
      </c>
      <c r="C14" s="37">
        <f>AVERAGE(Table11314[Performance annualisée depuis 01/08])</f>
        <v>5.8186703859691491E-2</v>
      </c>
      <c r="D14" s="37">
        <f>AVERAGE(Table11314[Perf. Totale depuis 01/08])</f>
        <v>1.9666449204921557</v>
      </c>
      <c r="E14" s="37">
        <f>AVERAGE(Table11314[Volatilité annualisée depuis 01/08])</f>
        <v>0.17796356095211696</v>
      </c>
      <c r="F14" s="37">
        <f>AVERAGE(Table11314[Max Drawdown depuis 01/08])</f>
        <v>0.46352042181725506</v>
      </c>
      <c r="G14" s="34">
        <f>AVERAGE(Table11314[Couple Rendement / Risque depuis 01/08])</f>
        <v>0.33650635787055411</v>
      </c>
      <c r="H14" s="37">
        <f>AVERAGE(Table11314[Performance annualisée 10 ans])</f>
        <v>5.8285497732010048E-2</v>
      </c>
      <c r="I14" s="37">
        <f>AVERAGE(Table11314[Volatilité annualisée 10 ans])</f>
        <v>0.14924841955755017</v>
      </c>
      <c r="J14" s="37">
        <f>AVERAGE(Table11314[Max Drawdown 10 ans])</f>
        <v>0.31207626710356123</v>
      </c>
      <c r="K14" s="42">
        <f>AVERAGE(Table11314[Couple Rendement Risque 10 ans])</f>
        <v>0.39645480622806145</v>
      </c>
      <c r="L14" s="37">
        <f>AVERAGE(Table11314[Performance annualisée 5 ans])</f>
        <v>4.8515478316525126E-2</v>
      </c>
      <c r="M14" s="37">
        <f>AVERAGE(Table11314[Volatilité annualisée 5 ans])</f>
        <v>0.14181211443742808</v>
      </c>
      <c r="N14" s="37">
        <f>AVERAGE(Table11314[Max Drawdown 5 ans])</f>
        <v>0.26336130540451169</v>
      </c>
      <c r="O14" s="42">
        <f>AVERAGE(Table11314[Couple Rendement Risque 5 ans])</f>
        <v>0.34870471241362422</v>
      </c>
      <c r="P14" s="37">
        <f>AVERAGE(Table11314[Performance annualisée 3 ans])</f>
        <v>9.1690788099047946E-2</v>
      </c>
      <c r="Q14" s="37">
        <f>AVERAGE(Table11314[Volatilité annualisée 3 ans])</f>
        <v>0.12469750526534656</v>
      </c>
      <c r="R14" s="37">
        <f>AVERAGE(Table11314[Max Drawdown 3 ans])</f>
        <v>0.18700702839435726</v>
      </c>
      <c r="S14" s="42">
        <f>AVERAGE(Table11314[Couple Rendement Risque 3 ans])</f>
        <v>0.75053586369796887</v>
      </c>
      <c r="T14" s="37">
        <f>AVERAGE(Table11314[Performance annualisée 1 an])</f>
        <v>3.976371921082885E-2</v>
      </c>
      <c r="U14" s="37">
        <f>AVERAGE(Table11314[Volatilité annualisée 1 an])</f>
        <v>0.1441747229035556</v>
      </c>
      <c r="V14" s="37">
        <f>AVERAGE(Table11314[Max Drawdown 1 an])</f>
        <v>0.18039357261130276</v>
      </c>
      <c r="W14" s="42">
        <f>AVERAGE(Table11314[Couple Rendement Risque 1 an])</f>
        <v>0.28919087809370775</v>
      </c>
      <c r="X14" s="38"/>
      <c r="Y14" s="37"/>
      <c r="Z14" s="37"/>
      <c r="AA14" s="37"/>
      <c r="AB14" s="37"/>
      <c r="AC14" s="37"/>
      <c r="AD14" s="37"/>
      <c r="AE14" s="37"/>
    </row>
    <row r="15" spans="1:31" ht="21.75" customHeight="1" x14ac:dyDescent="0.35">
      <c r="A15" s="7"/>
      <c r="AD15" s="1"/>
      <c r="AE15" s="1"/>
    </row>
    <row r="16" spans="1:31" ht="21.75" customHeight="1" x14ac:dyDescent="0.35">
      <c r="E16" s="2"/>
      <c r="F16" s="2"/>
    </row>
    <row r="17" spans="5:28" x14ac:dyDescent="0.35">
      <c r="E17" s="2"/>
      <c r="F17" s="2"/>
    </row>
    <row r="18" spans="5:28" x14ac:dyDescent="0.35">
      <c r="E18" s="2"/>
      <c r="F18" s="2"/>
    </row>
    <row r="19" spans="5:28" x14ac:dyDescent="0.35">
      <c r="E19" s="2"/>
      <c r="F19" s="2"/>
      <c r="AB19" s="6"/>
    </row>
    <row r="20" spans="5:28" x14ac:dyDescent="0.35">
      <c r="E20" s="2"/>
      <c r="F20" s="2"/>
    </row>
    <row r="21" spans="5:28" x14ac:dyDescent="0.35">
      <c r="E21" s="2"/>
      <c r="F21" s="2"/>
    </row>
    <row r="22" spans="5:28" x14ac:dyDescent="0.35">
      <c r="E22" s="2"/>
      <c r="F22" s="2"/>
    </row>
    <row r="23" spans="5:28" x14ac:dyDescent="0.35">
      <c r="E23" s="2"/>
      <c r="F23" s="2"/>
    </row>
    <row r="24" spans="5:28" x14ac:dyDescent="0.35">
      <c r="E24" s="2"/>
      <c r="F24" s="2"/>
    </row>
    <row r="25" spans="5:28" x14ac:dyDescent="0.35">
      <c r="E25" s="2"/>
      <c r="F25" s="2"/>
    </row>
    <row r="26" spans="5:28" x14ac:dyDescent="0.35">
      <c r="E26" s="2"/>
      <c r="F26" s="2"/>
    </row>
    <row r="27" spans="5:28" x14ac:dyDescent="0.35">
      <c r="E27" s="2"/>
      <c r="F27" s="2"/>
    </row>
    <row r="28" spans="5:28" x14ac:dyDescent="0.35">
      <c r="E28" s="2"/>
      <c r="F28" s="2"/>
    </row>
    <row r="29" spans="5:28" x14ac:dyDescent="0.35">
      <c r="E29" s="2"/>
      <c r="F29" s="2"/>
    </row>
    <row r="30" spans="5:28" x14ac:dyDescent="0.35">
      <c r="E30" s="2"/>
      <c r="F30" s="2"/>
    </row>
    <row r="31" spans="5:28" x14ac:dyDescent="0.35">
      <c r="E31" s="2"/>
      <c r="F31" s="2"/>
    </row>
    <row r="32" spans="5:28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</sheetData>
  <sheetProtection selectLockedCells="1"/>
  <conditionalFormatting sqref="C4:C13">
    <cfRule type="iconSet" priority="52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3">
    <cfRule type="iconSet" priority="523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3">
    <cfRule type="iconSet" priority="523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3">
    <cfRule type="iconSet" priority="523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3">
    <cfRule type="iconSet" priority="524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2:X22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3">
    <cfRule type="iconSet" priority="524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3">
    <cfRule type="iconSet" priority="524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3">
    <cfRule type="iconSet" priority="524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3">
    <cfRule type="iconSet" priority="524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3">
    <cfRule type="iconSet" priority="52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3">
    <cfRule type="iconSet" priority="525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3">
    <cfRule type="iconSet" priority="52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3">
    <cfRule type="iconSet" priority="525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3">
    <cfRule type="iconSet" priority="525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3">
    <cfRule type="iconSet" priority="526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3">
    <cfRule type="iconSet" priority="526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3">
    <cfRule type="iconSet" priority="526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3">
    <cfRule type="iconSet" priority="526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3">
    <cfRule type="iconSet" priority="526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3">
    <cfRule type="iconSet" priority="527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3">
    <cfRule type="iconSet" priority="527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33" orientation="landscape" horizontalDpi="4294967292" verticalDpi="4294967292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36F1-20A3-41BE-BE33-68A74F9951FB}">
  <sheetPr>
    <tabColor rgb="FF008000"/>
    <pageSetUpPr fitToPage="1"/>
  </sheetPr>
  <dimension ref="A1:AE48"/>
  <sheetViews>
    <sheetView showGridLines="0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245</v>
      </c>
      <c r="C2" s="20">
        <v>46022</v>
      </c>
      <c r="E2" s="3"/>
      <c r="F2" s="3"/>
      <c r="G2" s="4"/>
      <c r="H2" s="20">
        <v>46022</v>
      </c>
      <c r="I2" s="4"/>
      <c r="J2" s="4"/>
      <c r="K2" s="4"/>
      <c r="L2" s="4"/>
      <c r="M2" s="4"/>
      <c r="N2" s="4"/>
      <c r="O2" s="4"/>
      <c r="P2" s="4"/>
      <c r="Q2" s="4"/>
      <c r="R2" s="4"/>
      <c r="S2" s="22"/>
      <c r="T2" s="4"/>
      <c r="U2" s="4"/>
      <c r="V2" s="22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47</v>
      </c>
      <c r="B4" s="13" t="s">
        <v>249</v>
      </c>
      <c r="C4" s="30" t="s">
        <v>112</v>
      </c>
      <c r="D4" s="30" t="s">
        <v>112</v>
      </c>
      <c r="E4" s="30" t="s">
        <v>112</v>
      </c>
      <c r="F4" s="30" t="s">
        <v>112</v>
      </c>
      <c r="G4" s="24" t="s">
        <v>112</v>
      </c>
      <c r="H4" s="21" t="s">
        <v>112</v>
      </c>
      <c r="I4" s="21" t="s">
        <v>112</v>
      </c>
      <c r="J4" s="21" t="s">
        <v>112</v>
      </c>
      <c r="K4" s="24" t="s">
        <v>112</v>
      </c>
      <c r="L4" s="21" t="s">
        <v>112</v>
      </c>
      <c r="M4" s="21" t="s">
        <v>112</v>
      </c>
      <c r="N4" s="21" t="s">
        <v>112</v>
      </c>
      <c r="O4" s="41" t="s">
        <v>112</v>
      </c>
      <c r="P4" s="21" t="s">
        <v>112</v>
      </c>
      <c r="Q4" s="21" t="s">
        <v>112</v>
      </c>
      <c r="R4" s="21" t="s">
        <v>112</v>
      </c>
      <c r="S4" s="41" t="s">
        <v>112</v>
      </c>
      <c r="T4" s="21">
        <v>0.28300450427352586</v>
      </c>
      <c r="U4" s="21">
        <v>0.16295350299054837</v>
      </c>
      <c r="V4" s="21">
        <v>0.14959568733153644</v>
      </c>
      <c r="W4" s="41">
        <v>1.7367193652163506</v>
      </c>
      <c r="X4" s="31" t="s">
        <v>112</v>
      </c>
      <c r="Y4" s="33" t="s">
        <v>112</v>
      </c>
      <c r="Z4" s="33" t="s">
        <v>112</v>
      </c>
      <c r="AA4" s="33" t="s">
        <v>112</v>
      </c>
      <c r="AB4" s="33" t="s">
        <v>112</v>
      </c>
      <c r="AC4" s="33" t="s">
        <v>112</v>
      </c>
      <c r="AD4" s="33" t="s">
        <v>112</v>
      </c>
      <c r="AE4" s="47" t="s">
        <v>112</v>
      </c>
    </row>
    <row r="5" spans="1:31" s="8" customFormat="1" ht="21.75" customHeight="1" x14ac:dyDescent="0.35">
      <c r="A5" s="12" t="s">
        <v>69</v>
      </c>
      <c r="B5" s="13" t="s">
        <v>205</v>
      </c>
      <c r="C5" s="32" t="s">
        <v>112</v>
      </c>
      <c r="D5" s="32" t="s">
        <v>112</v>
      </c>
      <c r="E5" s="32" t="s">
        <v>112</v>
      </c>
      <c r="F5" s="32" t="s">
        <v>112</v>
      </c>
      <c r="G5" s="25" t="s">
        <v>112</v>
      </c>
      <c r="H5" s="14" t="s">
        <v>112</v>
      </c>
      <c r="I5" s="14" t="s">
        <v>112</v>
      </c>
      <c r="J5" s="14" t="s">
        <v>112</v>
      </c>
      <c r="K5" s="24" t="s">
        <v>112</v>
      </c>
      <c r="L5" s="14">
        <v>0.15351436475381153</v>
      </c>
      <c r="M5" s="14">
        <v>0.19551760099420143</v>
      </c>
      <c r="N5" s="14">
        <v>0.25439698492462315</v>
      </c>
      <c r="O5" s="44">
        <v>0.78516902812429856</v>
      </c>
      <c r="P5" s="14">
        <v>0.20157148644833311</v>
      </c>
      <c r="Q5" s="14">
        <v>0.18602935611691918</v>
      </c>
      <c r="R5" s="14">
        <v>0.25439698492462315</v>
      </c>
      <c r="S5" s="44">
        <v>1.0835466544411718</v>
      </c>
      <c r="T5" s="14">
        <v>8.4516353904830588E-2</v>
      </c>
      <c r="U5" s="14">
        <v>0.23026813799175502</v>
      </c>
      <c r="V5" s="14">
        <v>0.25439698492462315</v>
      </c>
      <c r="W5" s="44">
        <v>0.367034513076476</v>
      </c>
      <c r="X5" s="31">
        <v>45838</v>
      </c>
      <c r="Y5" s="33">
        <v>8</v>
      </c>
      <c r="Z5" s="33" t="s">
        <v>114</v>
      </c>
      <c r="AA5" s="33" t="s">
        <v>114</v>
      </c>
      <c r="AB5" s="33" t="s">
        <v>114</v>
      </c>
      <c r="AC5" s="33" t="s">
        <v>114</v>
      </c>
      <c r="AD5" s="33" t="s">
        <v>114</v>
      </c>
      <c r="AE5" s="47" t="s">
        <v>33</v>
      </c>
    </row>
    <row r="6" spans="1:31" s="8" customFormat="1" ht="21.5" customHeight="1" x14ac:dyDescent="0.35">
      <c r="A6" s="12" t="s">
        <v>27</v>
      </c>
      <c r="B6" s="13" t="s">
        <v>39</v>
      </c>
      <c r="C6" s="32" t="s">
        <v>112</v>
      </c>
      <c r="D6" s="32" t="s">
        <v>112</v>
      </c>
      <c r="E6" s="32" t="s">
        <v>112</v>
      </c>
      <c r="F6" s="32" t="s">
        <v>112</v>
      </c>
      <c r="G6" s="25" t="s">
        <v>112</v>
      </c>
      <c r="H6" s="14">
        <v>9.8685569577019461E-2</v>
      </c>
      <c r="I6" s="14">
        <v>0.15466217133773685</v>
      </c>
      <c r="J6" s="14">
        <v>0.37245392162123797</v>
      </c>
      <c r="K6" s="25">
        <v>0.63807179689414228</v>
      </c>
      <c r="L6" s="14">
        <v>7.8912926047353338E-2</v>
      </c>
      <c r="M6" s="14">
        <v>0.14024392497683058</v>
      </c>
      <c r="N6" s="14">
        <v>0.24090270029389732</v>
      </c>
      <c r="O6" s="44">
        <v>0.56268338225980474</v>
      </c>
      <c r="P6" s="14">
        <v>8.2280698710530453E-2</v>
      </c>
      <c r="Q6" s="14">
        <v>0.12590971142786539</v>
      </c>
      <c r="R6" s="14">
        <v>0.16840847624656549</v>
      </c>
      <c r="S6" s="44">
        <v>0.65348969334799623</v>
      </c>
      <c r="T6" s="14">
        <v>1.0528264414267685E-2</v>
      </c>
      <c r="U6" s="14">
        <v>0.13398287849056223</v>
      </c>
      <c r="V6" s="14">
        <v>0.15212136104904769</v>
      </c>
      <c r="W6" s="44">
        <v>7.8579177674625772E-2</v>
      </c>
      <c r="X6" s="31" t="s">
        <v>112</v>
      </c>
      <c r="Y6" s="33">
        <v>9</v>
      </c>
      <c r="Z6" s="33" t="s">
        <v>114</v>
      </c>
      <c r="AA6" s="33" t="s">
        <v>114</v>
      </c>
      <c r="AB6" s="33" t="s">
        <v>114</v>
      </c>
      <c r="AC6" s="33" t="s">
        <v>114</v>
      </c>
      <c r="AD6" s="33" t="s">
        <v>114</v>
      </c>
      <c r="AE6" s="47" t="s">
        <v>31</v>
      </c>
    </row>
    <row r="7" spans="1:31" s="8" customFormat="1" ht="21.5" customHeight="1" x14ac:dyDescent="0.35">
      <c r="A7" s="12" t="s">
        <v>262</v>
      </c>
      <c r="B7" s="13" t="s">
        <v>269</v>
      </c>
      <c r="C7" s="32" t="s">
        <v>112</v>
      </c>
      <c r="D7" s="32" t="s">
        <v>112</v>
      </c>
      <c r="E7" s="32" t="s">
        <v>112</v>
      </c>
      <c r="F7" s="32" t="s">
        <v>112</v>
      </c>
      <c r="G7" s="25" t="s">
        <v>112</v>
      </c>
      <c r="H7" s="14">
        <v>5.9147957180107014E-2</v>
      </c>
      <c r="I7" s="14">
        <v>0.23244803857868346</v>
      </c>
      <c r="J7" s="14">
        <v>0.32039238506941564</v>
      </c>
      <c r="K7" s="40">
        <v>0.25445668434877106</v>
      </c>
      <c r="L7" s="14">
        <v>5.6732741660642239E-2</v>
      </c>
      <c r="M7" s="14">
        <v>0.20909321184073698</v>
      </c>
      <c r="N7" s="14">
        <v>0.32039238506941564</v>
      </c>
      <c r="O7" s="44">
        <v>0.27132751542338296</v>
      </c>
      <c r="P7" s="14">
        <v>0.12743460175589783</v>
      </c>
      <c r="Q7" s="14">
        <v>0.19090979245564918</v>
      </c>
      <c r="R7" s="14">
        <v>0.26805120983447978</v>
      </c>
      <c r="S7" s="44">
        <v>0.66751212767413459</v>
      </c>
      <c r="T7" s="14">
        <v>0.35118188331514344</v>
      </c>
      <c r="U7" s="14">
        <v>0.22206537651772029</v>
      </c>
      <c r="V7" s="14">
        <v>0.21672873180987456</v>
      </c>
      <c r="W7" s="44">
        <v>1.5814346604686478</v>
      </c>
      <c r="X7" s="31">
        <v>46022</v>
      </c>
      <c r="Y7" s="33">
        <v>8</v>
      </c>
      <c r="Z7" s="33" t="s">
        <v>32</v>
      </c>
      <c r="AA7" s="33" t="s">
        <v>32</v>
      </c>
      <c r="AB7" s="33" t="s">
        <v>32</v>
      </c>
      <c r="AC7" s="33" t="s">
        <v>32</v>
      </c>
      <c r="AD7" s="33" t="s">
        <v>32</v>
      </c>
      <c r="AE7" s="47" t="s">
        <v>33</v>
      </c>
    </row>
    <row r="8" spans="1:31" s="8" customFormat="1" ht="21.5" customHeight="1" x14ac:dyDescent="0.35">
      <c r="A8" s="12" t="s">
        <v>34</v>
      </c>
      <c r="B8" s="13" t="s">
        <v>246</v>
      </c>
      <c r="C8" s="32" t="s">
        <v>112</v>
      </c>
      <c r="D8" s="32" t="s">
        <v>112</v>
      </c>
      <c r="E8" s="32" t="s">
        <v>112</v>
      </c>
      <c r="F8" s="32" t="s">
        <v>112</v>
      </c>
      <c r="G8" s="25" t="s">
        <v>112</v>
      </c>
      <c r="H8" s="14" t="s">
        <v>112</v>
      </c>
      <c r="I8" s="14" t="s">
        <v>112</v>
      </c>
      <c r="J8" s="14" t="s">
        <v>112</v>
      </c>
      <c r="K8" s="25" t="s">
        <v>112</v>
      </c>
      <c r="L8" s="14" t="s">
        <v>112</v>
      </c>
      <c r="M8" s="14" t="s">
        <v>112</v>
      </c>
      <c r="N8" s="14" t="s">
        <v>112</v>
      </c>
      <c r="O8" s="44" t="s">
        <v>112</v>
      </c>
      <c r="P8" s="14" t="s">
        <v>112</v>
      </c>
      <c r="Q8" s="14" t="s">
        <v>112</v>
      </c>
      <c r="R8" s="14" t="s">
        <v>112</v>
      </c>
      <c r="S8" s="44" t="s">
        <v>112</v>
      </c>
      <c r="T8" s="14">
        <v>0.29436831884267334</v>
      </c>
      <c r="U8" s="14">
        <v>0.23594803240431633</v>
      </c>
      <c r="V8" s="14">
        <v>0.28092577813248198</v>
      </c>
      <c r="W8" s="44">
        <v>1.2475981081217453</v>
      </c>
      <c r="X8" s="31" t="s">
        <v>112</v>
      </c>
      <c r="Y8" s="33" t="s">
        <v>112</v>
      </c>
      <c r="Z8" s="33" t="s">
        <v>112</v>
      </c>
      <c r="AA8" s="33" t="s">
        <v>112</v>
      </c>
      <c r="AB8" s="33" t="s">
        <v>112</v>
      </c>
      <c r="AC8" s="33" t="s">
        <v>112</v>
      </c>
      <c r="AD8" s="33" t="s">
        <v>112</v>
      </c>
      <c r="AE8" s="47" t="s">
        <v>112</v>
      </c>
    </row>
    <row r="9" spans="1:31" s="8" customFormat="1" ht="21.5" customHeight="1" x14ac:dyDescent="0.35">
      <c r="A9" s="12" t="s">
        <v>138</v>
      </c>
      <c r="B9" s="13" t="s">
        <v>206</v>
      </c>
      <c r="C9" s="32" t="s">
        <v>112</v>
      </c>
      <c r="D9" s="32" t="s">
        <v>112</v>
      </c>
      <c r="E9" s="32" t="s">
        <v>112</v>
      </c>
      <c r="F9" s="32" t="s">
        <v>112</v>
      </c>
      <c r="G9" s="25" t="s">
        <v>112</v>
      </c>
      <c r="H9" s="14">
        <v>0.19568951366156595</v>
      </c>
      <c r="I9" s="14">
        <v>0.31359320185333162</v>
      </c>
      <c r="J9" s="14">
        <v>0.47672282580171094</v>
      </c>
      <c r="K9" s="25">
        <v>0.62402345620071975</v>
      </c>
      <c r="L9" s="14">
        <v>0.21317077652032101</v>
      </c>
      <c r="M9" s="14">
        <v>0.29479926932793449</v>
      </c>
      <c r="N9" s="14">
        <v>0.3599045331732213</v>
      </c>
      <c r="O9" s="44">
        <v>0.72310483335421705</v>
      </c>
      <c r="P9" s="14">
        <v>0.42456189324812832</v>
      </c>
      <c r="Q9" s="14">
        <v>0.28614369121857935</v>
      </c>
      <c r="R9" s="14">
        <v>0.2386459588949876</v>
      </c>
      <c r="S9" s="44">
        <v>1.4837366899129505</v>
      </c>
      <c r="T9" s="14">
        <v>1.2073394642053712</v>
      </c>
      <c r="U9" s="14">
        <v>0.33436851944203028</v>
      </c>
      <c r="V9" s="14">
        <v>0.1562712218868999</v>
      </c>
      <c r="W9" s="44">
        <v>3.6108048276198099</v>
      </c>
      <c r="X9" s="31">
        <v>45838</v>
      </c>
      <c r="Y9" s="33">
        <v>8</v>
      </c>
      <c r="Z9" s="33" t="s">
        <v>32</v>
      </c>
      <c r="AA9" s="33" t="s">
        <v>32</v>
      </c>
      <c r="AB9" s="33" t="s">
        <v>32</v>
      </c>
      <c r="AC9" s="33" t="s">
        <v>32</v>
      </c>
      <c r="AD9" s="33" t="s">
        <v>32</v>
      </c>
      <c r="AE9" s="47" t="s">
        <v>31</v>
      </c>
    </row>
    <row r="10" spans="1:31" s="8" customFormat="1" ht="21.5" customHeight="1" x14ac:dyDescent="0.35">
      <c r="A10" s="12" t="s">
        <v>156</v>
      </c>
      <c r="B10" s="13" t="s">
        <v>207</v>
      </c>
      <c r="C10" s="32" t="s">
        <v>112</v>
      </c>
      <c r="D10" s="32" t="s">
        <v>112</v>
      </c>
      <c r="E10" s="32" t="s">
        <v>112</v>
      </c>
      <c r="F10" s="32" t="s">
        <v>112</v>
      </c>
      <c r="G10" s="25" t="s">
        <v>112</v>
      </c>
      <c r="H10" s="14" t="s">
        <v>112</v>
      </c>
      <c r="I10" s="14" t="s">
        <v>112</v>
      </c>
      <c r="J10" s="14" t="s">
        <v>112</v>
      </c>
      <c r="K10" s="25" t="s">
        <v>112</v>
      </c>
      <c r="L10" s="14" t="s">
        <v>112</v>
      </c>
      <c r="M10" s="14" t="s">
        <v>112</v>
      </c>
      <c r="N10" s="14" t="s">
        <v>112</v>
      </c>
      <c r="O10" s="44" t="s">
        <v>112</v>
      </c>
      <c r="P10" s="14">
        <v>0.20745143898859819</v>
      </c>
      <c r="Q10" s="14">
        <v>0.16092024908833519</v>
      </c>
      <c r="R10" s="14">
        <v>0.24791568964618826</v>
      </c>
      <c r="S10" s="44">
        <v>1.2891568349159108</v>
      </c>
      <c r="T10" s="14">
        <v>6.9583800052086531E-2</v>
      </c>
      <c r="U10" s="14">
        <v>0.19191728096499039</v>
      </c>
      <c r="V10" s="14">
        <v>0.24791568964618826</v>
      </c>
      <c r="W10" s="44">
        <v>0.36257183147973021</v>
      </c>
      <c r="X10" s="31" t="s">
        <v>112</v>
      </c>
      <c r="Y10" s="33">
        <v>6</v>
      </c>
      <c r="Z10" s="33" t="s">
        <v>32</v>
      </c>
      <c r="AA10" s="33" t="s">
        <v>32</v>
      </c>
      <c r="AB10" s="33" t="s">
        <v>32</v>
      </c>
      <c r="AC10" s="33" t="s">
        <v>32</v>
      </c>
      <c r="AD10" s="33" t="s">
        <v>32</v>
      </c>
      <c r="AE10" s="47" t="s">
        <v>31</v>
      </c>
    </row>
    <row r="11" spans="1:31" s="8" customFormat="1" ht="21.5" customHeight="1" x14ac:dyDescent="0.35">
      <c r="A11" s="12" t="s">
        <v>48</v>
      </c>
      <c r="B11" s="13" t="s">
        <v>208</v>
      </c>
      <c r="C11" s="32" t="s">
        <v>112</v>
      </c>
      <c r="D11" s="32" t="s">
        <v>112</v>
      </c>
      <c r="E11" s="32" t="s">
        <v>112</v>
      </c>
      <c r="F11" s="32" t="s">
        <v>112</v>
      </c>
      <c r="G11" s="25" t="s">
        <v>112</v>
      </c>
      <c r="H11" s="14" t="s">
        <v>112</v>
      </c>
      <c r="I11" s="14" t="s">
        <v>112</v>
      </c>
      <c r="J11" s="14" t="s">
        <v>112</v>
      </c>
      <c r="K11" s="25" t="s">
        <v>112</v>
      </c>
      <c r="L11" s="14">
        <v>0.16517477551881554</v>
      </c>
      <c r="M11" s="14">
        <v>0.178061217709967</v>
      </c>
      <c r="N11" s="14">
        <v>0.2578048895674821</v>
      </c>
      <c r="O11" s="44">
        <v>0.92762914711646316</v>
      </c>
      <c r="P11" s="14">
        <v>0.25318912161793561</v>
      </c>
      <c r="Q11" s="14">
        <v>0.16318041549038115</v>
      </c>
      <c r="R11" s="14">
        <v>0.2578048895674821</v>
      </c>
      <c r="S11" s="44">
        <v>1.5515901271428012</v>
      </c>
      <c r="T11" s="14">
        <v>0.11100895244663778</v>
      </c>
      <c r="U11" s="14">
        <v>0.19692460092190617</v>
      </c>
      <c r="V11" s="14">
        <v>0.2578048895674821</v>
      </c>
      <c r="W11" s="44">
        <v>0.56371297403649578</v>
      </c>
      <c r="X11" s="31" t="s">
        <v>112</v>
      </c>
      <c r="Y11" s="33">
        <v>8</v>
      </c>
      <c r="Z11" s="33" t="s">
        <v>114</v>
      </c>
      <c r="AA11" s="35" t="s">
        <v>112</v>
      </c>
      <c r="AB11" s="33" t="s">
        <v>114</v>
      </c>
      <c r="AC11" s="35" t="s">
        <v>114</v>
      </c>
      <c r="AD11" s="33" t="s">
        <v>112</v>
      </c>
      <c r="AE11" s="47" t="s">
        <v>33</v>
      </c>
    </row>
    <row r="12" spans="1:31" s="8" customFormat="1" ht="21.5" customHeight="1" x14ac:dyDescent="0.35">
      <c r="A12" s="12" t="s">
        <v>75</v>
      </c>
      <c r="B12" s="13" t="s">
        <v>209</v>
      </c>
      <c r="C12" s="32" t="s">
        <v>112</v>
      </c>
      <c r="D12" s="32" t="s">
        <v>112</v>
      </c>
      <c r="E12" s="32" t="s">
        <v>112</v>
      </c>
      <c r="F12" s="32" t="s">
        <v>112</v>
      </c>
      <c r="G12" s="25" t="s">
        <v>112</v>
      </c>
      <c r="H12" s="14">
        <v>0.18328925160474752</v>
      </c>
      <c r="I12" s="14">
        <v>0.25951037030172885</v>
      </c>
      <c r="J12" s="14">
        <v>0.4691330259754864</v>
      </c>
      <c r="K12" s="25">
        <v>0.70628873671460535</v>
      </c>
      <c r="L12" s="14">
        <v>0.11353598048713343</v>
      </c>
      <c r="M12" s="14">
        <v>0.27953362064809462</v>
      </c>
      <c r="N12" s="14">
        <v>0.4691330259754864</v>
      </c>
      <c r="O12" s="44">
        <v>0.4061621647653757</v>
      </c>
      <c r="P12" s="14">
        <v>0.2904067868545388</v>
      </c>
      <c r="Q12" s="14">
        <v>0.24923689634375187</v>
      </c>
      <c r="R12" s="14">
        <v>0.32202404032570764</v>
      </c>
      <c r="S12" s="44">
        <v>1.1651837714027891</v>
      </c>
      <c r="T12" s="14">
        <v>6.1022381458719188E-2</v>
      </c>
      <c r="U12" s="14">
        <v>0.29639392963276195</v>
      </c>
      <c r="V12" s="14">
        <v>0.32202404032570764</v>
      </c>
      <c r="W12" s="44">
        <v>0.20588269649897065</v>
      </c>
      <c r="X12" s="31">
        <v>45838</v>
      </c>
      <c r="Y12" s="33">
        <v>8</v>
      </c>
      <c r="Z12" s="33" t="s">
        <v>114</v>
      </c>
      <c r="AA12" s="33" t="s">
        <v>114</v>
      </c>
      <c r="AB12" s="33" t="s">
        <v>114</v>
      </c>
      <c r="AC12" s="33" t="s">
        <v>114</v>
      </c>
      <c r="AD12" s="33" t="s">
        <v>114</v>
      </c>
      <c r="AE12" s="47" t="s">
        <v>215</v>
      </c>
    </row>
    <row r="13" spans="1:31" s="8" customFormat="1" ht="21.5" customHeight="1" x14ac:dyDescent="0.35">
      <c r="A13" s="12" t="s">
        <v>57</v>
      </c>
      <c r="B13" s="13" t="s">
        <v>210</v>
      </c>
      <c r="C13" s="32" t="s">
        <v>112</v>
      </c>
      <c r="D13" s="32" t="s">
        <v>112</v>
      </c>
      <c r="E13" s="32" t="s">
        <v>112</v>
      </c>
      <c r="F13" s="32" t="s">
        <v>112</v>
      </c>
      <c r="G13" s="25" t="s">
        <v>112</v>
      </c>
      <c r="H13" s="14">
        <v>5.66138617584937E-2</v>
      </c>
      <c r="I13" s="14">
        <v>0.19080944846297437</v>
      </c>
      <c r="J13" s="14">
        <v>0.37229967825953736</v>
      </c>
      <c r="K13" s="25">
        <v>0.29670366019363731</v>
      </c>
      <c r="L13" s="14">
        <v>5.1187104345968848E-2</v>
      </c>
      <c r="M13" s="14">
        <v>0.19373531877356492</v>
      </c>
      <c r="N13" s="14">
        <v>0.37229967825953736</v>
      </c>
      <c r="O13" s="44">
        <v>0.26421152668500059</v>
      </c>
      <c r="P13" s="14">
        <v>0.13155808131551372</v>
      </c>
      <c r="Q13" s="14">
        <v>0.17429320955612271</v>
      </c>
      <c r="R13" s="14">
        <v>0.21039472910171195</v>
      </c>
      <c r="S13" s="44">
        <v>0.75480898911986472</v>
      </c>
      <c r="T13" s="14">
        <v>3.0552359353259062E-2</v>
      </c>
      <c r="U13" s="14">
        <v>0.18341862586313051</v>
      </c>
      <c r="V13" s="14">
        <v>0.21039472910171195</v>
      </c>
      <c r="W13" s="44">
        <v>0.16657173833620176</v>
      </c>
      <c r="X13" s="31" t="s">
        <v>112</v>
      </c>
      <c r="Y13" s="33" t="s">
        <v>112</v>
      </c>
      <c r="Z13" s="33" t="s">
        <v>112</v>
      </c>
      <c r="AA13" s="33" t="s">
        <v>112</v>
      </c>
      <c r="AB13" s="33" t="s">
        <v>112</v>
      </c>
      <c r="AC13" s="33" t="s">
        <v>112</v>
      </c>
      <c r="AD13" s="33" t="s">
        <v>112</v>
      </c>
      <c r="AE13" s="47" t="s">
        <v>112</v>
      </c>
    </row>
    <row r="14" spans="1:31" s="8" customFormat="1" ht="21.5" customHeight="1" x14ac:dyDescent="0.35">
      <c r="A14" s="12" t="s">
        <v>58</v>
      </c>
      <c r="B14" s="13" t="s">
        <v>247</v>
      </c>
      <c r="C14" s="32" t="s">
        <v>112</v>
      </c>
      <c r="D14" s="32" t="s">
        <v>112</v>
      </c>
      <c r="E14" s="32" t="s">
        <v>112</v>
      </c>
      <c r="F14" s="32" t="s">
        <v>112</v>
      </c>
      <c r="G14" s="25" t="s">
        <v>112</v>
      </c>
      <c r="H14" s="14" t="s">
        <v>112</v>
      </c>
      <c r="I14" s="14" t="s">
        <v>112</v>
      </c>
      <c r="J14" s="14" t="s">
        <v>112</v>
      </c>
      <c r="K14" s="24" t="s">
        <v>112</v>
      </c>
      <c r="L14" s="14" t="s">
        <v>112</v>
      </c>
      <c r="M14" s="14" t="s">
        <v>112</v>
      </c>
      <c r="N14" s="14" t="s">
        <v>112</v>
      </c>
      <c r="O14" s="44" t="s">
        <v>112</v>
      </c>
      <c r="P14" s="14" t="s">
        <v>112</v>
      </c>
      <c r="Q14" s="14" t="s">
        <v>112</v>
      </c>
      <c r="R14" s="14" t="s">
        <v>112</v>
      </c>
      <c r="S14" s="44" t="s">
        <v>112</v>
      </c>
      <c r="T14" s="14" t="s">
        <v>112</v>
      </c>
      <c r="U14" s="14" t="s">
        <v>112</v>
      </c>
      <c r="V14" s="14" t="s">
        <v>112</v>
      </c>
      <c r="W14" s="44" t="s">
        <v>112</v>
      </c>
      <c r="X14" s="31">
        <v>46058</v>
      </c>
      <c r="Y14" s="33">
        <v>8</v>
      </c>
      <c r="Z14" s="33" t="s">
        <v>32</v>
      </c>
      <c r="AA14" s="33" t="s">
        <v>32</v>
      </c>
      <c r="AB14" s="33" t="s">
        <v>32</v>
      </c>
      <c r="AC14" s="33" t="s">
        <v>32</v>
      </c>
      <c r="AD14" s="33" t="s">
        <v>32</v>
      </c>
      <c r="AE14" s="47" t="s">
        <v>33</v>
      </c>
    </row>
    <row r="15" spans="1:31" s="8" customFormat="1" ht="21.5" customHeight="1" x14ac:dyDescent="0.35">
      <c r="A15" s="12" t="s">
        <v>50</v>
      </c>
      <c r="B15" s="13" t="s">
        <v>211</v>
      </c>
      <c r="C15" s="32" t="s">
        <v>112</v>
      </c>
      <c r="D15" s="32" t="s">
        <v>112</v>
      </c>
      <c r="E15" s="32" t="s">
        <v>112</v>
      </c>
      <c r="F15" s="32" t="s">
        <v>112</v>
      </c>
      <c r="G15" s="25" t="s">
        <v>112</v>
      </c>
      <c r="H15" s="14" t="s">
        <v>112</v>
      </c>
      <c r="I15" s="14" t="s">
        <v>112</v>
      </c>
      <c r="J15" s="14" t="s">
        <v>112</v>
      </c>
      <c r="K15" s="24" t="s">
        <v>112</v>
      </c>
      <c r="L15" s="14">
        <v>0.14834172966307779</v>
      </c>
      <c r="M15" s="14">
        <v>0.21973992713019846</v>
      </c>
      <c r="N15" s="14">
        <v>0.28659438125009651</v>
      </c>
      <c r="O15" s="44">
        <v>0.67507863318432604</v>
      </c>
      <c r="P15" s="14">
        <v>0.27411893706497259</v>
      </c>
      <c r="Q15" s="14">
        <v>0.20257050077315292</v>
      </c>
      <c r="R15" s="14">
        <v>0.26697041465356763</v>
      </c>
      <c r="S15" s="44">
        <v>1.3532026431229622</v>
      </c>
      <c r="T15" s="14">
        <v>2.5756085363355385E-3</v>
      </c>
      <c r="U15" s="14">
        <v>0.24054491594464011</v>
      </c>
      <c r="V15" s="14">
        <v>0.26697041465356763</v>
      </c>
      <c r="W15" s="44">
        <v>1.0707391283748015E-2</v>
      </c>
      <c r="X15" s="31">
        <v>45838</v>
      </c>
      <c r="Y15" s="33">
        <v>8</v>
      </c>
      <c r="Z15" s="33" t="s">
        <v>32</v>
      </c>
      <c r="AA15" s="33" t="s">
        <v>32</v>
      </c>
      <c r="AB15" s="33" t="s">
        <v>32</v>
      </c>
      <c r="AC15" s="33" t="s">
        <v>32</v>
      </c>
      <c r="AD15" s="33" t="s">
        <v>32</v>
      </c>
      <c r="AE15" s="47" t="s">
        <v>31</v>
      </c>
    </row>
    <row r="16" spans="1:31" s="8" customFormat="1" ht="21.5" customHeight="1" x14ac:dyDescent="0.35">
      <c r="A16" s="12" t="s">
        <v>59</v>
      </c>
      <c r="B16" s="13" t="s">
        <v>212</v>
      </c>
      <c r="C16" s="32" t="s">
        <v>112</v>
      </c>
      <c r="D16" s="32" t="s">
        <v>112</v>
      </c>
      <c r="E16" s="32" t="s">
        <v>112</v>
      </c>
      <c r="F16" s="32" t="s">
        <v>112</v>
      </c>
      <c r="G16" s="25" t="s">
        <v>112</v>
      </c>
      <c r="H16" s="14">
        <v>0.1230155470179588</v>
      </c>
      <c r="I16" s="14">
        <v>0.20371535165859667</v>
      </c>
      <c r="J16" s="14">
        <v>0.37862885795798396</v>
      </c>
      <c r="K16" s="25">
        <v>0.60385997430433525</v>
      </c>
      <c r="L16" s="14">
        <v>8.5616791659282487E-2</v>
      </c>
      <c r="M16" s="14">
        <v>0.22348336095848598</v>
      </c>
      <c r="N16" s="14">
        <v>0.37862885795798396</v>
      </c>
      <c r="O16" s="44">
        <v>0.38310141431597033</v>
      </c>
      <c r="P16" s="14">
        <v>0.28156784992219519</v>
      </c>
      <c r="Q16" s="14">
        <v>0.21766073314831641</v>
      </c>
      <c r="R16" s="14">
        <v>0.264274435898742</v>
      </c>
      <c r="S16" s="44">
        <v>1.2936088464350239</v>
      </c>
      <c r="T16" s="14">
        <v>5.6639939625267921E-2</v>
      </c>
      <c r="U16" s="14">
        <v>0.2494011857381761</v>
      </c>
      <c r="V16" s="14">
        <v>0.264274435898742</v>
      </c>
      <c r="W16" s="44">
        <v>0.22710373031156758</v>
      </c>
      <c r="X16" s="31" t="s">
        <v>112</v>
      </c>
      <c r="Y16" s="33">
        <v>8</v>
      </c>
      <c r="Z16" s="33" t="s">
        <v>114</v>
      </c>
      <c r="AA16" s="33" t="s">
        <v>114</v>
      </c>
      <c r="AB16" s="33" t="s">
        <v>114</v>
      </c>
      <c r="AC16" s="33" t="s">
        <v>114</v>
      </c>
      <c r="AD16" s="33" t="s">
        <v>114</v>
      </c>
      <c r="AE16" s="47" t="s">
        <v>33</v>
      </c>
    </row>
    <row r="17" spans="1:31" s="8" customFormat="1" ht="21.5" customHeight="1" x14ac:dyDescent="0.35">
      <c r="A17" s="12" t="s">
        <v>42</v>
      </c>
      <c r="B17" s="13" t="s">
        <v>213</v>
      </c>
      <c r="C17" s="32" t="s">
        <v>112</v>
      </c>
      <c r="D17" s="32" t="s">
        <v>112</v>
      </c>
      <c r="E17" s="32" t="s">
        <v>112</v>
      </c>
      <c r="F17" s="32" t="s">
        <v>112</v>
      </c>
      <c r="G17" s="25" t="s">
        <v>112</v>
      </c>
      <c r="H17" s="14" t="s">
        <v>112</v>
      </c>
      <c r="I17" s="14" t="s">
        <v>112</v>
      </c>
      <c r="J17" s="14" t="s">
        <v>112</v>
      </c>
      <c r="K17" s="25" t="s">
        <v>112</v>
      </c>
      <c r="L17" s="14">
        <v>9.7287715934382346E-2</v>
      </c>
      <c r="M17" s="14">
        <v>0.14841352023949289</v>
      </c>
      <c r="N17" s="14">
        <v>0.25089179548156948</v>
      </c>
      <c r="O17" s="44">
        <v>0.65551787854226806</v>
      </c>
      <c r="P17" s="14">
        <v>0.15233257160976854</v>
      </c>
      <c r="Q17" s="14">
        <v>0.14427280361602349</v>
      </c>
      <c r="R17" s="14">
        <v>0.19168744804655016</v>
      </c>
      <c r="S17" s="44">
        <v>1.0558647769485081</v>
      </c>
      <c r="T17" s="14">
        <v>9.4480872291951457E-2</v>
      </c>
      <c r="U17" s="14">
        <v>0.16077824457191703</v>
      </c>
      <c r="V17" s="14">
        <v>0.19168744804655016</v>
      </c>
      <c r="W17" s="44">
        <v>0.58764711944400927</v>
      </c>
      <c r="X17" s="31" t="s">
        <v>112</v>
      </c>
      <c r="Y17" s="33">
        <v>9</v>
      </c>
      <c r="Z17" s="33" t="s">
        <v>114</v>
      </c>
      <c r="AA17" s="33" t="s">
        <v>114</v>
      </c>
      <c r="AB17" s="33" t="s">
        <v>114</v>
      </c>
      <c r="AC17" s="33" t="s">
        <v>114</v>
      </c>
      <c r="AD17" s="33" t="s">
        <v>114</v>
      </c>
      <c r="AE17" s="47" t="s">
        <v>33</v>
      </c>
    </row>
    <row r="18" spans="1:31" s="8" customFormat="1" ht="21.5" customHeight="1" x14ac:dyDescent="0.35">
      <c r="A18" s="12" t="s">
        <v>157</v>
      </c>
      <c r="B18" s="13" t="s">
        <v>214</v>
      </c>
      <c r="C18" s="32" t="s">
        <v>112</v>
      </c>
      <c r="D18" s="32" t="s">
        <v>112</v>
      </c>
      <c r="E18" s="32" t="s">
        <v>112</v>
      </c>
      <c r="F18" s="32" t="s">
        <v>112</v>
      </c>
      <c r="G18" s="25" t="s">
        <v>112</v>
      </c>
      <c r="H18" s="14" t="s">
        <v>112</v>
      </c>
      <c r="I18" s="14" t="s">
        <v>112</v>
      </c>
      <c r="J18" s="14" t="s">
        <v>112</v>
      </c>
      <c r="K18" s="40" t="s">
        <v>112</v>
      </c>
      <c r="L18" s="14" t="s">
        <v>112</v>
      </c>
      <c r="M18" s="14" t="s">
        <v>112</v>
      </c>
      <c r="N18" s="14" t="s">
        <v>112</v>
      </c>
      <c r="O18" s="44" t="s">
        <v>112</v>
      </c>
      <c r="P18" s="14" t="s">
        <v>112</v>
      </c>
      <c r="Q18" s="14" t="s">
        <v>112</v>
      </c>
      <c r="R18" s="14" t="s">
        <v>112</v>
      </c>
      <c r="S18" s="44" t="s">
        <v>112</v>
      </c>
      <c r="T18" s="14" t="s">
        <v>112</v>
      </c>
      <c r="U18" s="14" t="s">
        <v>112</v>
      </c>
      <c r="V18" s="14" t="s">
        <v>112</v>
      </c>
      <c r="W18" s="44" t="s">
        <v>112</v>
      </c>
      <c r="X18" s="31" t="s">
        <v>112</v>
      </c>
      <c r="Y18" s="33">
        <v>8</v>
      </c>
      <c r="Z18" s="33" t="s">
        <v>32</v>
      </c>
      <c r="AA18" s="33" t="s">
        <v>32</v>
      </c>
      <c r="AB18" s="33" t="s">
        <v>32</v>
      </c>
      <c r="AC18" s="33" t="s">
        <v>32</v>
      </c>
      <c r="AD18" s="47" t="s">
        <v>32</v>
      </c>
      <c r="AE18" s="47" t="s">
        <v>54</v>
      </c>
    </row>
    <row r="19" spans="1:31" s="8" customFormat="1" ht="21.5" customHeight="1" x14ac:dyDescent="0.35">
      <c r="A19" s="12"/>
      <c r="B19" s="13"/>
      <c r="C19" s="32"/>
      <c r="D19" s="32"/>
      <c r="E19" s="32"/>
      <c r="F19" s="32"/>
      <c r="G19" s="25"/>
      <c r="H19" s="14"/>
      <c r="I19" s="14"/>
      <c r="J19" s="14"/>
      <c r="K19" s="40"/>
      <c r="L19" s="14"/>
      <c r="M19" s="14"/>
      <c r="N19" s="14"/>
      <c r="O19" s="44"/>
      <c r="P19" s="14"/>
      <c r="Q19" s="14"/>
      <c r="R19" s="14"/>
      <c r="S19" s="44"/>
      <c r="T19" s="14"/>
      <c r="U19" s="14"/>
      <c r="V19" s="14"/>
      <c r="W19" s="44"/>
      <c r="X19" s="31"/>
      <c r="Y19" s="31"/>
      <c r="Z19" s="33"/>
      <c r="AA19" s="33"/>
      <c r="AB19" s="33"/>
      <c r="AC19" s="33"/>
      <c r="AD19" s="47"/>
      <c r="AE19" s="47"/>
    </row>
    <row r="20" spans="1:31" s="1" customFormat="1" ht="21.75" customHeight="1" x14ac:dyDescent="0.35">
      <c r="A20" s="36" t="s">
        <v>2</v>
      </c>
      <c r="B20" s="36" t="s">
        <v>3</v>
      </c>
      <c r="C20" s="37" t="e">
        <f>AVERAGE(Table1131417[Performance annualisée depuis 01/08])</f>
        <v>#DIV/0!</v>
      </c>
      <c r="D20" s="37" t="e">
        <f>AVERAGE(Table1131417[Perf. Totale depuis 01/08])</f>
        <v>#DIV/0!</v>
      </c>
      <c r="E20" s="37" t="e">
        <f>AVERAGE(Table1131417[Volatilité annualisée depuis 01/08])</f>
        <v>#DIV/0!</v>
      </c>
      <c r="F20" s="37" t="e">
        <f>AVERAGE(Table1131417[Max Drawdown depuis 01/08])</f>
        <v>#DIV/0!</v>
      </c>
      <c r="G20" s="34" t="e">
        <f>AVERAGE(Table1131417[Couple Rendement / Risque depuis 01/08])</f>
        <v>#DIV/0!</v>
      </c>
      <c r="H20" s="37">
        <f>AVERAGE(Table1131417[Performance annualisée 10 ans])</f>
        <v>0.11940695013331541</v>
      </c>
      <c r="I20" s="37">
        <f>AVERAGE(Table1131417[Volatilité annualisée 10 ans])</f>
        <v>0.22578976369884196</v>
      </c>
      <c r="J20" s="37">
        <f>AVERAGE(Table1131417[Max Drawdown 10 ans])</f>
        <v>0.39827178244756195</v>
      </c>
      <c r="K20" s="42">
        <f>AVERAGE(Table1131417[Couple Rendement Risque 10 ans])</f>
        <v>0.52056738477603515</v>
      </c>
      <c r="L20" s="37">
        <f>AVERAGE(Table1131417[Performance annualisée 5 ans])</f>
        <v>0.11634749065907886</v>
      </c>
      <c r="M20" s="37">
        <f>AVERAGE(Table1131417[Volatilité annualisée 5 ans])</f>
        <v>0.20826209725995071</v>
      </c>
      <c r="N20" s="37">
        <f>AVERAGE(Table1131417[Max Drawdown 5 ans])</f>
        <v>0.31909492319533134</v>
      </c>
      <c r="O20" s="42">
        <f>AVERAGE(Table1131417[Couple Rendement Risque 5 ans])</f>
        <v>0.56539855237711067</v>
      </c>
      <c r="P20" s="37">
        <f>AVERAGE(Table1131417[Performance annualisée 3 ans])</f>
        <v>0.22058849704876479</v>
      </c>
      <c r="Q20" s="37">
        <f>AVERAGE(Table1131417[Volatilité annualisée 3 ans])</f>
        <v>0.19101157811228153</v>
      </c>
      <c r="R20" s="37">
        <f>AVERAGE(Table1131417[Max Drawdown 3 ans])</f>
        <v>0.24459766155823684</v>
      </c>
      <c r="S20" s="42">
        <f>AVERAGE(Table1131417[Couple Rendement Risque 3 ans])</f>
        <v>1.1228819231331011</v>
      </c>
      <c r="T20" s="37">
        <f>AVERAGE(Table1131417[Performance annualisée 1 an])</f>
        <v>0.20436943867077459</v>
      </c>
      <c r="U20" s="37">
        <f>AVERAGE(Table1131417[Volatilité annualisée 1 an])</f>
        <v>0.21838194088265039</v>
      </c>
      <c r="V20" s="37">
        <f>AVERAGE(Table1131417[Max Drawdown 1 an])</f>
        <v>0.22854703172110868</v>
      </c>
      <c r="W20" s="42">
        <f>AVERAGE(Table1131417[Couple Rendement Risque 1 an])</f>
        <v>0.82664370258218312</v>
      </c>
      <c r="X20" s="38"/>
      <c r="Y20" s="37"/>
      <c r="Z20" s="37"/>
      <c r="AA20" s="37"/>
      <c r="AB20" s="37"/>
      <c r="AC20" s="37"/>
      <c r="AD20" s="37"/>
      <c r="AE20" s="37"/>
    </row>
    <row r="21" spans="1:31" ht="21.75" customHeight="1" x14ac:dyDescent="0.35">
      <c r="A21" s="7"/>
      <c r="AD21" s="1"/>
      <c r="AE21" s="1"/>
    </row>
    <row r="22" spans="1:31" ht="21.75" customHeight="1" x14ac:dyDescent="0.35">
      <c r="E22" s="2"/>
      <c r="F22" s="2"/>
    </row>
    <row r="23" spans="1:31" ht="21.75" customHeight="1" x14ac:dyDescent="0.35">
      <c r="C23" s="2" t="s">
        <v>248</v>
      </c>
      <c r="E23" s="2"/>
      <c r="F23" s="2"/>
    </row>
    <row r="24" spans="1:31" x14ac:dyDescent="0.35">
      <c r="E24" s="2"/>
      <c r="F24" s="2"/>
    </row>
    <row r="25" spans="1:31" x14ac:dyDescent="0.35">
      <c r="E25" s="2"/>
      <c r="F25" s="2"/>
      <c r="AB25" s="6"/>
    </row>
    <row r="26" spans="1:31" x14ac:dyDescent="0.35">
      <c r="E26" s="2"/>
      <c r="F26" s="2"/>
    </row>
    <row r="27" spans="1:31" x14ac:dyDescent="0.35">
      <c r="E27" s="2"/>
      <c r="F27" s="2"/>
    </row>
    <row r="28" spans="1:31" x14ac:dyDescent="0.35">
      <c r="E28" s="2"/>
      <c r="F28" s="2"/>
    </row>
    <row r="29" spans="1:31" x14ac:dyDescent="0.35">
      <c r="E29" s="2"/>
      <c r="F29" s="2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</sheetData>
  <sheetProtection selectLockedCells="1"/>
  <phoneticPr fontId="23" type="noConversion"/>
  <conditionalFormatting sqref="C4:C19">
    <cfRule type="iconSet" priority="473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9">
    <cfRule type="iconSet" priority="474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9">
    <cfRule type="iconSet" priority="474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9">
    <cfRule type="iconSet" priority="474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9">
    <cfRule type="iconSet" priority="474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8:X28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9">
    <cfRule type="iconSet" priority="474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9">
    <cfRule type="iconSet" priority="475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9">
    <cfRule type="iconSet" priority="475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7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8:K19">
    <cfRule type="iconSet" priority="475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9">
    <cfRule type="iconSet" priority="475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9">
    <cfRule type="iconSet" priority="475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9">
    <cfRule type="iconSet" priority="476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9">
    <cfRule type="iconSet" priority="476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9">
    <cfRule type="iconSet" priority="476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9">
    <cfRule type="iconSet" priority="47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9">
    <cfRule type="iconSet" priority="476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9">
    <cfRule type="iconSet" priority="477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9">
    <cfRule type="iconSet" priority="477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9">
    <cfRule type="iconSet" priority="477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9">
    <cfRule type="iconSet" priority="477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9">
    <cfRule type="iconSet" priority="477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33" orientation="landscape" horizontalDpi="4294967292" vertic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8000"/>
    <pageSetUpPr fitToPage="1"/>
  </sheetPr>
  <dimension ref="A1:AE52"/>
  <sheetViews>
    <sheetView showGridLines="0" zoomScale="70" zoomScaleNormal="70" workbookViewId="0">
      <pane xSplit="1" topLeftCell="B1" activePane="topRight" state="frozenSplit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4" width="13.08203125" style="2" customWidth="1"/>
    <col min="25" max="29" width="13.08203125" style="5" customWidth="1"/>
    <col min="30" max="31" width="10.58203125" style="5"/>
    <col min="32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60"/>
      <c r="Z1" s="60"/>
      <c r="AA1" s="60"/>
      <c r="AB1" s="60"/>
      <c r="AC1" s="60"/>
      <c r="AD1" s="60"/>
      <c r="AE1" s="60"/>
    </row>
    <row r="2" spans="1:31" s="1" customFormat="1" ht="21" x14ac:dyDescent="0.5">
      <c r="A2" s="17" t="s">
        <v>15</v>
      </c>
      <c r="B2" s="19" t="s">
        <v>17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1"/>
      <c r="AE2" s="61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55</v>
      </c>
      <c r="B4" s="13" t="s">
        <v>61</v>
      </c>
      <c r="C4" s="21">
        <v>3.2620436445524703E-2</v>
      </c>
      <c r="D4" s="21">
        <v>0.78218165627782721</v>
      </c>
      <c r="E4" s="21">
        <v>3.0167818021683848E-2</v>
      </c>
      <c r="F4" s="21">
        <v>0.18590843183996472</v>
      </c>
      <c r="G4" s="57">
        <v>1.0812991652919006</v>
      </c>
      <c r="H4" s="21">
        <v>1.4267123548809435E-2</v>
      </c>
      <c r="I4" s="21">
        <v>3.0247230531228297E-2</v>
      </c>
      <c r="J4" s="21">
        <v>0.18590843183996472</v>
      </c>
      <c r="K4" s="57">
        <v>0.47168363179827516</v>
      </c>
      <c r="L4" s="21">
        <v>-1.7041498422335488E-3</v>
      </c>
      <c r="M4" s="21">
        <v>3.290733194909079E-2</v>
      </c>
      <c r="N4" s="21">
        <v>0.18590843183996472</v>
      </c>
      <c r="O4" s="57">
        <v>-5.1786326672425151E-2</v>
      </c>
      <c r="P4" s="21">
        <v>5.5090495766606518E-2</v>
      </c>
      <c r="Q4" s="21">
        <v>2.7734813008431603E-2</v>
      </c>
      <c r="R4" s="21">
        <v>2.9930585068706717E-2</v>
      </c>
      <c r="S4" s="57">
        <v>1.9863301674274338</v>
      </c>
      <c r="T4" s="21">
        <v>3.1107887499458586E-2</v>
      </c>
      <c r="U4" s="21">
        <v>1.8684517096599927E-2</v>
      </c>
      <c r="V4" s="21">
        <v>1.9028389623103312E-2</v>
      </c>
      <c r="W4" s="57">
        <v>1.6649018724235252</v>
      </c>
      <c r="X4" s="31">
        <v>43281</v>
      </c>
      <c r="Y4" s="33">
        <v>8</v>
      </c>
      <c r="Z4" s="33" t="s">
        <v>114</v>
      </c>
      <c r="AA4" s="33" t="s">
        <v>112</v>
      </c>
      <c r="AB4" s="33" t="s">
        <v>114</v>
      </c>
      <c r="AC4" s="33" t="s">
        <v>114</v>
      </c>
      <c r="AD4" s="33" t="s">
        <v>112</v>
      </c>
      <c r="AE4" s="33" t="s">
        <v>33</v>
      </c>
    </row>
    <row r="5" spans="1:31" s="8" customFormat="1" ht="21.75" customHeight="1" x14ac:dyDescent="0.35">
      <c r="A5" s="12" t="s">
        <v>250</v>
      </c>
      <c r="B5" s="13" t="s">
        <v>252</v>
      </c>
      <c r="C5" s="14">
        <v>3.8034859433860202E-2</v>
      </c>
      <c r="D5" s="14">
        <v>0.95810998610283904</v>
      </c>
      <c r="E5" s="14">
        <v>3.0823404723192265E-2</v>
      </c>
      <c r="F5" s="14">
        <v>0.12268388545760806</v>
      </c>
      <c r="G5" s="58">
        <v>1.2339603549779776</v>
      </c>
      <c r="H5" s="14">
        <v>2.0453325038486181E-2</v>
      </c>
      <c r="I5" s="14">
        <v>2.7133697258618403E-2</v>
      </c>
      <c r="J5" s="14">
        <v>0.12268388545760806</v>
      </c>
      <c r="K5" s="58">
        <v>0.75379793780184701</v>
      </c>
      <c r="L5" s="14">
        <v>2.1464414989213587E-2</v>
      </c>
      <c r="M5" s="14">
        <v>3.0327277996820192E-2</v>
      </c>
      <c r="N5" s="14">
        <v>0.12268388545760806</v>
      </c>
      <c r="O5" s="58">
        <v>0.7077593640769253</v>
      </c>
      <c r="P5" s="14">
        <v>6.149019770688402E-2</v>
      </c>
      <c r="Q5" s="14">
        <v>3.0087513977460584E-2</v>
      </c>
      <c r="R5" s="14">
        <v>2.6622393102644724E-2</v>
      </c>
      <c r="S5" s="58">
        <v>2.0437114795508888</v>
      </c>
      <c r="T5" s="14">
        <v>4.0868553470315261E-2</v>
      </c>
      <c r="U5" s="14">
        <v>2.1676899040265856E-2</v>
      </c>
      <c r="V5" s="14">
        <v>1.8201731511421765E-2</v>
      </c>
      <c r="W5" s="58">
        <v>1.8853505473453562</v>
      </c>
      <c r="X5" s="31">
        <v>41640</v>
      </c>
      <c r="Y5" s="33">
        <v>8</v>
      </c>
      <c r="Z5" s="33" t="s">
        <v>114</v>
      </c>
      <c r="AA5" s="33" t="s">
        <v>114</v>
      </c>
      <c r="AB5" s="33" t="s">
        <v>114</v>
      </c>
      <c r="AC5" s="33" t="s">
        <v>114</v>
      </c>
      <c r="AD5" s="33" t="s">
        <v>114</v>
      </c>
      <c r="AE5" s="33" t="s">
        <v>33</v>
      </c>
    </row>
    <row r="6" spans="1:31" s="8" customFormat="1" ht="21.75" customHeight="1" x14ac:dyDescent="0.35">
      <c r="A6" s="12" t="s">
        <v>27</v>
      </c>
      <c r="B6" s="13" t="s">
        <v>36</v>
      </c>
      <c r="C6" s="21">
        <v>2.0422783053904547E-2</v>
      </c>
      <c r="D6" s="21">
        <v>0.43897966800266119</v>
      </c>
      <c r="E6" s="21">
        <v>2.8487641540543878E-2</v>
      </c>
      <c r="F6" s="21">
        <v>0.14539115504906067</v>
      </c>
      <c r="G6" s="57">
        <v>0.71689974843437465</v>
      </c>
      <c r="H6" s="21">
        <v>4.1284774567795779E-4</v>
      </c>
      <c r="I6" s="21">
        <v>2.8978406702029356E-2</v>
      </c>
      <c r="J6" s="21">
        <v>0.14539115504906067</v>
      </c>
      <c r="K6" s="57">
        <v>1.4246737231727999E-2</v>
      </c>
      <c r="L6" s="21">
        <v>-6.7923728509827752E-3</v>
      </c>
      <c r="M6" s="21">
        <v>3.7700594976573062E-2</v>
      </c>
      <c r="N6" s="21">
        <v>0.14252476629039995</v>
      </c>
      <c r="O6" s="57">
        <v>-0.18016619778026097</v>
      </c>
      <c r="P6" s="21">
        <v>3.805854863614333E-2</v>
      </c>
      <c r="Q6" s="21">
        <v>3.6542751809456715E-2</v>
      </c>
      <c r="R6" s="21">
        <v>3.1495608571045955E-2</v>
      </c>
      <c r="S6" s="57">
        <v>1.0414800952755383</v>
      </c>
      <c r="T6" s="21">
        <v>2.2392974641223695E-2</v>
      </c>
      <c r="U6" s="21">
        <v>2.7026126326410379E-2</v>
      </c>
      <c r="V6" s="21">
        <v>1.8251527312501646E-2</v>
      </c>
      <c r="W6" s="57">
        <v>0.82856767450764524</v>
      </c>
      <c r="X6" s="31">
        <v>41640</v>
      </c>
      <c r="Y6" s="33">
        <v>8</v>
      </c>
      <c r="Z6" s="48" t="s">
        <v>114</v>
      </c>
      <c r="AA6" s="48" t="s">
        <v>114</v>
      </c>
      <c r="AB6" s="48" t="s">
        <v>114</v>
      </c>
      <c r="AC6" s="48" t="s">
        <v>114</v>
      </c>
      <c r="AD6" s="48" t="s">
        <v>114</v>
      </c>
      <c r="AE6" s="48" t="s">
        <v>31</v>
      </c>
    </row>
    <row r="7" spans="1:31" s="8" customFormat="1" ht="21.75" customHeight="1" x14ac:dyDescent="0.35">
      <c r="A7" s="12" t="s">
        <v>262</v>
      </c>
      <c r="B7" s="13" t="s">
        <v>264</v>
      </c>
      <c r="C7" s="14">
        <v>2.3357374109726603E-2</v>
      </c>
      <c r="D7" s="14">
        <v>0.51532415786980246</v>
      </c>
      <c r="E7" s="14">
        <v>3.7810506970064911E-2</v>
      </c>
      <c r="F7" s="14">
        <v>0.36231100343925077</v>
      </c>
      <c r="G7" s="58">
        <v>0.61774823935100764</v>
      </c>
      <c r="H7" s="14">
        <v>3.5335748500886499E-3</v>
      </c>
      <c r="I7" s="14">
        <v>4.1030861169439492E-2</v>
      </c>
      <c r="J7" s="14">
        <v>0.20411268052461201</v>
      </c>
      <c r="K7" s="58">
        <v>8.611992898458877E-2</v>
      </c>
      <c r="L7" s="14">
        <v>-2.0399763968707796E-2</v>
      </c>
      <c r="M7" s="14">
        <v>4.9893967230725617E-2</v>
      </c>
      <c r="N7" s="14">
        <v>0.20309567125819411</v>
      </c>
      <c r="O7" s="58">
        <v>-0.40886233548783124</v>
      </c>
      <c r="P7" s="14">
        <v>3.8262139779202231E-2</v>
      </c>
      <c r="Q7" s="14">
        <v>4.7742697334937051E-2</v>
      </c>
      <c r="R7" s="14">
        <v>4.136471604405105E-2</v>
      </c>
      <c r="S7" s="58">
        <v>0.80142392271587981</v>
      </c>
      <c r="T7" s="14">
        <v>1.7309008502337075E-2</v>
      </c>
      <c r="U7" s="14">
        <v>3.5176807498683196E-2</v>
      </c>
      <c r="V7" s="14">
        <v>2.492438578614516E-2</v>
      </c>
      <c r="W7" s="58">
        <v>0.4920574018260474</v>
      </c>
      <c r="X7" s="31">
        <v>46022</v>
      </c>
      <c r="Y7" s="28">
        <v>8</v>
      </c>
      <c r="Z7" s="15" t="s">
        <v>32</v>
      </c>
      <c r="AA7" s="15" t="s">
        <v>32</v>
      </c>
      <c r="AB7" s="48" t="s">
        <v>32</v>
      </c>
      <c r="AC7" s="48" t="s">
        <v>32</v>
      </c>
      <c r="AD7" s="64" t="s">
        <v>32</v>
      </c>
      <c r="AE7" s="33" t="s">
        <v>33</v>
      </c>
    </row>
    <row r="8" spans="1:31" s="8" customFormat="1" ht="21.75" customHeight="1" x14ac:dyDescent="0.35">
      <c r="A8" s="12" t="s">
        <v>34</v>
      </c>
      <c r="B8" s="13" t="s">
        <v>158</v>
      </c>
      <c r="C8" s="14">
        <v>2.3702819124859609E-2</v>
      </c>
      <c r="D8" s="14">
        <v>0.52455857201248213</v>
      </c>
      <c r="E8" s="14">
        <v>1.6830831025490725E-2</v>
      </c>
      <c r="F8" s="14">
        <v>7.8572069243877607E-2</v>
      </c>
      <c r="G8" s="58">
        <v>1.4082976110306782</v>
      </c>
      <c r="H8" s="14">
        <v>1.5028345713748559E-2</v>
      </c>
      <c r="I8" s="14">
        <v>1.5717968906449161E-2</v>
      </c>
      <c r="J8" s="14">
        <v>7.8572069243877607E-2</v>
      </c>
      <c r="K8" s="58">
        <v>0.9561251713370138</v>
      </c>
      <c r="L8" s="14">
        <v>1.7334945842761185E-2</v>
      </c>
      <c r="M8" s="14">
        <v>1.6893459011015126E-2</v>
      </c>
      <c r="N8" s="14">
        <v>7.8572069243877607E-2</v>
      </c>
      <c r="O8" s="58">
        <v>1.0261335959354561</v>
      </c>
      <c r="P8" s="14">
        <v>4.2725719916249627E-2</v>
      </c>
      <c r="Q8" s="14">
        <v>1.442019484862893E-2</v>
      </c>
      <c r="R8" s="14">
        <v>1.9716745348514093E-2</v>
      </c>
      <c r="S8" s="58">
        <v>2.9629086406077225</v>
      </c>
      <c r="T8" s="14">
        <v>2.5307791823750314E-2</v>
      </c>
      <c r="U8" s="14">
        <v>8.2265694143775873E-3</v>
      </c>
      <c r="V8" s="14">
        <v>5.4298833365777613E-3</v>
      </c>
      <c r="W8" s="58">
        <v>3.076348177348367</v>
      </c>
      <c r="X8" s="31">
        <v>41640</v>
      </c>
      <c r="Y8" s="33">
        <v>8</v>
      </c>
      <c r="Z8" s="33" t="s">
        <v>114</v>
      </c>
      <c r="AA8" s="33" t="s">
        <v>112</v>
      </c>
      <c r="AB8" s="33" t="s">
        <v>114</v>
      </c>
      <c r="AC8" s="33" t="s">
        <v>114</v>
      </c>
      <c r="AD8" s="33" t="s">
        <v>112</v>
      </c>
      <c r="AE8" s="33" t="s">
        <v>37</v>
      </c>
    </row>
    <row r="9" spans="1:31" s="8" customFormat="1" ht="21.75" customHeight="1" x14ac:dyDescent="0.35">
      <c r="A9" s="12" t="s">
        <v>138</v>
      </c>
      <c r="B9" s="13" t="s">
        <v>62</v>
      </c>
      <c r="C9" s="21" t="s">
        <v>112</v>
      </c>
      <c r="D9" s="21" t="s">
        <v>112</v>
      </c>
      <c r="E9" s="21" t="s">
        <v>112</v>
      </c>
      <c r="F9" s="21" t="s">
        <v>112</v>
      </c>
      <c r="G9" s="57" t="s">
        <v>112</v>
      </c>
      <c r="H9" s="21">
        <v>3.0176045559093811E-3</v>
      </c>
      <c r="I9" s="21">
        <v>2.2993314680289013E-2</v>
      </c>
      <c r="J9" s="21">
        <v>0.11271530543630054</v>
      </c>
      <c r="K9" s="57">
        <v>0.13123834461745607</v>
      </c>
      <c r="L9" s="21">
        <v>-1.104792539399102E-3</v>
      </c>
      <c r="M9" s="21">
        <v>2.8957727426389673E-2</v>
      </c>
      <c r="N9" s="21">
        <v>0.11162204561295228</v>
      </c>
      <c r="O9" s="57">
        <v>-3.8151907542036109E-2</v>
      </c>
      <c r="P9" s="21">
        <v>3.5826347472921016E-2</v>
      </c>
      <c r="Q9" s="21">
        <v>2.7704455243690928E-2</v>
      </c>
      <c r="R9" s="21">
        <v>2.4753874677439124E-2</v>
      </c>
      <c r="S9" s="57">
        <v>1.2931619538369976</v>
      </c>
      <c r="T9" s="21">
        <v>2.5914189734220772E-2</v>
      </c>
      <c r="U9" s="21">
        <v>2.0966221013454623E-2</v>
      </c>
      <c r="V9" s="21">
        <v>1.2892955568800669E-2</v>
      </c>
      <c r="W9" s="57">
        <v>1.235997165039465</v>
      </c>
      <c r="X9" s="31">
        <v>41640</v>
      </c>
      <c r="Y9" s="33">
        <v>8</v>
      </c>
      <c r="Z9" s="48" t="s">
        <v>114</v>
      </c>
      <c r="AA9" s="48" t="s">
        <v>114</v>
      </c>
      <c r="AB9" s="48" t="s">
        <v>114</v>
      </c>
      <c r="AC9" s="48" t="s">
        <v>114</v>
      </c>
      <c r="AD9" s="48" t="s">
        <v>114</v>
      </c>
      <c r="AE9" s="48" t="s">
        <v>31</v>
      </c>
    </row>
    <row r="10" spans="1:31" s="8" customFormat="1" ht="21.75" customHeight="1" x14ac:dyDescent="0.35">
      <c r="A10" s="12" t="s">
        <v>35</v>
      </c>
      <c r="B10" s="13" t="s">
        <v>41</v>
      </c>
      <c r="C10" s="14">
        <v>3.3714197114488087E-2</v>
      </c>
      <c r="D10" s="14">
        <v>0.81647058823529406</v>
      </c>
      <c r="E10" s="14">
        <v>2.4578410940321122E-2</v>
      </c>
      <c r="F10" s="14">
        <v>0.11860465116279066</v>
      </c>
      <c r="G10" s="57">
        <v>1.3716996268127171</v>
      </c>
      <c r="H10" s="14">
        <v>2.5124386555040346E-2</v>
      </c>
      <c r="I10" s="14">
        <v>2.6438907960061361E-2</v>
      </c>
      <c r="J10" s="14">
        <v>0.11860465116279066</v>
      </c>
      <c r="K10" s="57">
        <v>0.9502807980190886</v>
      </c>
      <c r="L10" s="14">
        <v>2.9096668899265543E-2</v>
      </c>
      <c r="M10" s="14">
        <v>2.5926213728575384E-2</v>
      </c>
      <c r="N10" s="14">
        <v>0.11860465116279066</v>
      </c>
      <c r="O10" s="57">
        <v>1.1222876276452101</v>
      </c>
      <c r="P10" s="14">
        <v>7.2503072761304521E-2</v>
      </c>
      <c r="Q10" s="14">
        <v>2.3497397047902581E-2</v>
      </c>
      <c r="R10" s="14">
        <v>2.3546246910368183E-2</v>
      </c>
      <c r="S10" s="57">
        <v>3.0855789095914465</v>
      </c>
      <c r="T10" s="14">
        <v>5.0613867432512283E-2</v>
      </c>
      <c r="U10" s="14">
        <v>2.6134809523954795E-2</v>
      </c>
      <c r="V10" s="14">
        <v>2.0741566768887644E-2</v>
      </c>
      <c r="W10" s="57">
        <v>1.9366457362591578</v>
      </c>
      <c r="X10" s="31">
        <v>42005</v>
      </c>
      <c r="Y10" s="33">
        <v>8</v>
      </c>
      <c r="Z10" s="48" t="s">
        <v>114</v>
      </c>
      <c r="AA10" s="48" t="s">
        <v>114</v>
      </c>
      <c r="AB10" s="48" t="s">
        <v>114</v>
      </c>
      <c r="AC10" s="48" t="s">
        <v>114</v>
      </c>
      <c r="AD10" s="48" t="s">
        <v>114</v>
      </c>
      <c r="AE10" s="48" t="s">
        <v>33</v>
      </c>
    </row>
    <row r="11" spans="1:31" s="8" customFormat="1" ht="21.75" customHeight="1" x14ac:dyDescent="0.35">
      <c r="A11" s="12" t="s">
        <v>56</v>
      </c>
      <c r="B11" s="13" t="s">
        <v>219</v>
      </c>
      <c r="C11" s="14" t="s">
        <v>112</v>
      </c>
      <c r="D11" s="14" t="s">
        <v>112</v>
      </c>
      <c r="E11" s="14" t="s">
        <v>112</v>
      </c>
      <c r="F11" s="14" t="s">
        <v>112</v>
      </c>
      <c r="G11" s="57" t="s">
        <v>112</v>
      </c>
      <c r="H11" s="14">
        <v>1.2741686795510576E-2</v>
      </c>
      <c r="I11" s="14">
        <v>2.494526589764377E-2</v>
      </c>
      <c r="J11" s="14">
        <v>0.14814814814814825</v>
      </c>
      <c r="K11" s="57">
        <v>0.51078576784038632</v>
      </c>
      <c r="L11" s="14">
        <v>9.3366594121335744E-3</v>
      </c>
      <c r="M11" s="14">
        <v>3.1788761097647951E-2</v>
      </c>
      <c r="N11" s="14">
        <v>0.14814814814814825</v>
      </c>
      <c r="O11" s="57">
        <v>0.29370944603513954</v>
      </c>
      <c r="P11" s="14">
        <v>5.8129087939360113E-2</v>
      </c>
      <c r="Q11" s="14">
        <v>2.8131468267186543E-2</v>
      </c>
      <c r="R11" s="14">
        <v>2.0931652878796347E-2</v>
      </c>
      <c r="S11" s="57">
        <v>2.066336793631343</v>
      </c>
      <c r="T11" s="14">
        <v>3.8929676011876468E-2</v>
      </c>
      <c r="U11" s="14">
        <v>2.7133764480688917E-2</v>
      </c>
      <c r="V11" s="14">
        <v>1.9298159024727431E-2</v>
      </c>
      <c r="W11" s="57">
        <v>1.4347318463526391</v>
      </c>
      <c r="X11" s="31">
        <v>45291</v>
      </c>
      <c r="Y11" s="33">
        <v>8</v>
      </c>
      <c r="Z11" s="48" t="s">
        <v>113</v>
      </c>
      <c r="AA11" s="48" t="s">
        <v>112</v>
      </c>
      <c r="AB11" s="48" t="s">
        <v>114</v>
      </c>
      <c r="AC11" s="48" t="s">
        <v>114</v>
      </c>
      <c r="AD11" s="48" t="s">
        <v>112</v>
      </c>
      <c r="AE11" s="48" t="s">
        <v>33</v>
      </c>
    </row>
    <row r="12" spans="1:31" s="8" customFormat="1" ht="21.75" customHeight="1" x14ac:dyDescent="0.35">
      <c r="A12" s="12" t="s">
        <v>156</v>
      </c>
      <c r="B12" s="13" t="s">
        <v>220</v>
      </c>
      <c r="C12" s="14" t="s">
        <v>112</v>
      </c>
      <c r="D12" s="14" t="s">
        <v>112</v>
      </c>
      <c r="E12" s="14" t="s">
        <v>112</v>
      </c>
      <c r="F12" s="14" t="s">
        <v>112</v>
      </c>
      <c r="G12" s="57" t="s">
        <v>112</v>
      </c>
      <c r="H12" s="14">
        <v>1.1931880613304635E-2</v>
      </c>
      <c r="I12" s="14">
        <v>9.8973785018432042E-3</v>
      </c>
      <c r="J12" s="14">
        <v>5.7805433907871094E-2</v>
      </c>
      <c r="K12" s="57">
        <v>1.2055596955378176</v>
      </c>
      <c r="L12" s="14">
        <v>1.8317793489774692E-2</v>
      </c>
      <c r="M12" s="14">
        <v>8.3271134263794497E-3</v>
      </c>
      <c r="N12" s="14">
        <v>4.8251530362157263E-2</v>
      </c>
      <c r="O12" s="57">
        <v>2.199777107844572</v>
      </c>
      <c r="P12" s="14">
        <v>3.8281422701307299E-2</v>
      </c>
      <c r="Q12" s="14">
        <v>6.1501370388379389E-3</v>
      </c>
      <c r="R12" s="14">
        <v>9.7996911776658049E-3</v>
      </c>
      <c r="S12" s="57">
        <v>6.2244828789279349</v>
      </c>
      <c r="T12" s="14">
        <v>2.7932180178593446E-2</v>
      </c>
      <c r="U12" s="14">
        <v>4.7279666875926114E-3</v>
      </c>
      <c r="V12" s="14">
        <v>1.9422194189779836E-3</v>
      </c>
      <c r="W12" s="57">
        <v>5.9078631522287584</v>
      </c>
      <c r="X12" s="31" t="s">
        <v>112</v>
      </c>
      <c r="Y12" s="33">
        <v>6</v>
      </c>
      <c r="Z12" s="48" t="s">
        <v>32</v>
      </c>
      <c r="AA12" s="48" t="s">
        <v>32</v>
      </c>
      <c r="AB12" s="48" t="s">
        <v>32</v>
      </c>
      <c r="AC12" s="48" t="s">
        <v>32</v>
      </c>
      <c r="AD12" s="48" t="s">
        <v>32</v>
      </c>
      <c r="AE12" s="48" t="s">
        <v>31</v>
      </c>
    </row>
    <row r="13" spans="1:31" s="8" customFormat="1" ht="21.75" customHeight="1" x14ac:dyDescent="0.35">
      <c r="A13" s="12" t="s">
        <v>48</v>
      </c>
      <c r="B13" s="13" t="s">
        <v>63</v>
      </c>
      <c r="C13" s="14">
        <v>2.7819315313169612E-2</v>
      </c>
      <c r="D13" s="14">
        <v>0.63877096835532354</v>
      </c>
      <c r="E13" s="14">
        <v>4.4451790497640919E-2</v>
      </c>
      <c r="F13" s="14">
        <v>0.23004953219592741</v>
      </c>
      <c r="G13" s="57">
        <v>0.62583115329507366</v>
      </c>
      <c r="H13" s="14">
        <v>6.0761302149463514E-3</v>
      </c>
      <c r="I13" s="14">
        <v>4.980491731893872E-2</v>
      </c>
      <c r="J13" s="14">
        <v>0.23004953219592741</v>
      </c>
      <c r="K13" s="57">
        <v>0.12199860058066704</v>
      </c>
      <c r="L13" s="14">
        <v>-2.345317939148972E-2</v>
      </c>
      <c r="M13" s="14">
        <v>6.1306950680680324E-2</v>
      </c>
      <c r="N13" s="14">
        <v>0.22835079977937114</v>
      </c>
      <c r="O13" s="57">
        <v>-0.38255335049440858</v>
      </c>
      <c r="P13" s="14">
        <v>3.7670883433823299E-2</v>
      </c>
      <c r="Q13" s="14">
        <v>5.39096431651096E-2</v>
      </c>
      <c r="R13" s="14">
        <v>6.5476190476190382E-2</v>
      </c>
      <c r="S13" s="57">
        <v>0.69877820037591998</v>
      </c>
      <c r="T13" s="14">
        <v>3.8928299130398525E-3</v>
      </c>
      <c r="U13" s="14">
        <v>3.9622518574407087E-2</v>
      </c>
      <c r="V13" s="14">
        <v>3.6843182970259916E-2</v>
      </c>
      <c r="W13" s="57">
        <v>9.8247916919504019E-2</v>
      </c>
      <c r="X13" s="31">
        <v>41820</v>
      </c>
      <c r="Y13" s="33">
        <v>8</v>
      </c>
      <c r="Z13" s="48" t="s">
        <v>114</v>
      </c>
      <c r="AA13" s="48" t="s">
        <v>112</v>
      </c>
      <c r="AB13" s="48" t="s">
        <v>114</v>
      </c>
      <c r="AC13" s="48" t="s">
        <v>114</v>
      </c>
      <c r="AD13" s="48" t="s">
        <v>112</v>
      </c>
      <c r="AE13" s="48" t="s">
        <v>33</v>
      </c>
    </row>
    <row r="14" spans="1:31" s="8" customFormat="1" ht="21.75" customHeight="1" x14ac:dyDescent="0.35">
      <c r="A14" s="12" t="s">
        <v>49</v>
      </c>
      <c r="B14" s="13" t="s">
        <v>221</v>
      </c>
      <c r="C14" s="14">
        <v>1.811231846134187E-2</v>
      </c>
      <c r="D14" s="14">
        <v>0.38144350955411199</v>
      </c>
      <c r="E14" s="14">
        <v>1.6333416973507292E-2</v>
      </c>
      <c r="F14" s="14">
        <v>0.10911982171253172</v>
      </c>
      <c r="G14" s="57">
        <v>1.1089117782714999</v>
      </c>
      <c r="H14" s="14">
        <v>1.2607967695626554E-2</v>
      </c>
      <c r="I14" s="14">
        <v>1.2352113054974294E-2</v>
      </c>
      <c r="J14" s="14">
        <v>6.7131580964058579E-2</v>
      </c>
      <c r="K14" s="57">
        <v>1.0207134309339263</v>
      </c>
      <c r="L14" s="14">
        <v>1.7999161974379785E-2</v>
      </c>
      <c r="M14" s="14">
        <v>1.4688455304914548E-2</v>
      </c>
      <c r="N14" s="14">
        <v>6.7131580964058579E-2</v>
      </c>
      <c r="O14" s="57">
        <v>1.2253951556333851</v>
      </c>
      <c r="P14" s="14">
        <v>4.7655070652905751E-2</v>
      </c>
      <c r="Q14" s="14">
        <v>1.3283514193881789E-2</v>
      </c>
      <c r="R14" s="14">
        <v>1.4062000639181775E-2</v>
      </c>
      <c r="S14" s="57">
        <v>3.5875348915466247</v>
      </c>
      <c r="T14" s="14">
        <v>3.6432798234404817E-2</v>
      </c>
      <c r="U14" s="14">
        <v>1.0951141164185626E-2</v>
      </c>
      <c r="V14" s="14">
        <v>6.4185778162410669E-3</v>
      </c>
      <c r="W14" s="57">
        <v>3.3268494751536806</v>
      </c>
      <c r="X14" s="31">
        <v>43465</v>
      </c>
      <c r="Y14" s="33">
        <v>8</v>
      </c>
      <c r="Z14" s="48" t="s">
        <v>113</v>
      </c>
      <c r="AA14" s="48" t="s">
        <v>112</v>
      </c>
      <c r="AB14" s="48" t="s">
        <v>114</v>
      </c>
      <c r="AC14" s="48" t="s">
        <v>114</v>
      </c>
      <c r="AD14" s="48" t="s">
        <v>112</v>
      </c>
      <c r="AE14" s="48" t="s">
        <v>33</v>
      </c>
    </row>
    <row r="15" spans="1:31" s="8" customFormat="1" ht="21.75" customHeight="1" x14ac:dyDescent="0.35">
      <c r="A15" s="12" t="s">
        <v>70</v>
      </c>
      <c r="B15" s="13" t="s">
        <v>125</v>
      </c>
      <c r="C15" s="14">
        <v>2.787523595608965E-2</v>
      </c>
      <c r="D15" s="14">
        <v>0.64037672618015851</v>
      </c>
      <c r="E15" s="14">
        <v>4.0308128914075411E-2</v>
      </c>
      <c r="F15" s="14">
        <v>0.2105556933763334</v>
      </c>
      <c r="G15" s="57">
        <v>0.69155370658635928</v>
      </c>
      <c r="H15" s="14">
        <v>1.8657413500633435E-3</v>
      </c>
      <c r="I15" s="14">
        <v>4.3665686322010816E-2</v>
      </c>
      <c r="J15" s="14">
        <v>0.2105556933763334</v>
      </c>
      <c r="K15" s="57">
        <v>4.2727860414342518E-2</v>
      </c>
      <c r="L15" s="14">
        <v>-2.4419791100016797E-2</v>
      </c>
      <c r="M15" s="14">
        <v>5.2178289455897454E-2</v>
      </c>
      <c r="N15" s="14">
        <v>0.20876456876456875</v>
      </c>
      <c r="O15" s="57">
        <v>-0.46800673909897111</v>
      </c>
      <c r="P15" s="14">
        <v>3.1900899139998939E-2</v>
      </c>
      <c r="Q15" s="14">
        <v>4.8920486916329109E-2</v>
      </c>
      <c r="R15" s="14">
        <v>4.5746748392883847E-2</v>
      </c>
      <c r="S15" s="57">
        <v>0.65209692607026726</v>
      </c>
      <c r="T15" s="14">
        <v>9.1055711363907665E-3</v>
      </c>
      <c r="U15" s="14">
        <v>3.5834162674433644E-2</v>
      </c>
      <c r="V15" s="14">
        <v>2.7004130043418426E-2</v>
      </c>
      <c r="W15" s="57">
        <v>0.25410308088173233</v>
      </c>
      <c r="X15" s="31">
        <v>41640</v>
      </c>
      <c r="Y15" s="33">
        <v>8</v>
      </c>
      <c r="Z15" s="48" t="s">
        <v>114</v>
      </c>
      <c r="AA15" s="48" t="s">
        <v>112</v>
      </c>
      <c r="AB15" s="48" t="s">
        <v>114</v>
      </c>
      <c r="AC15" s="48" t="s">
        <v>114</v>
      </c>
      <c r="AD15" s="48" t="s">
        <v>112</v>
      </c>
      <c r="AE15" s="48" t="s">
        <v>33</v>
      </c>
    </row>
    <row r="16" spans="1:31" s="8" customFormat="1" ht="21.75" customHeight="1" x14ac:dyDescent="0.35">
      <c r="A16" s="12" t="s">
        <v>57</v>
      </c>
      <c r="B16" s="13" t="s">
        <v>64</v>
      </c>
      <c r="C16" s="14">
        <v>3.491857142113397E-2</v>
      </c>
      <c r="D16" s="14">
        <v>0.85494762523452472</v>
      </c>
      <c r="E16" s="14">
        <v>2.8705601051525087E-2</v>
      </c>
      <c r="F16" s="14">
        <v>0.12086151655393557</v>
      </c>
      <c r="G16" s="57">
        <v>1.2164375641693381</v>
      </c>
      <c r="H16" s="14">
        <v>1.730173521165379E-2</v>
      </c>
      <c r="I16" s="14">
        <v>2.6108358321268576E-2</v>
      </c>
      <c r="J16" s="14">
        <v>0.12086151655393557</v>
      </c>
      <c r="K16" s="57">
        <v>0.66268951110416341</v>
      </c>
      <c r="L16" s="14">
        <v>1.1300926932070965E-2</v>
      </c>
      <c r="M16" s="14">
        <v>2.7040154356565153E-2</v>
      </c>
      <c r="N16" s="14">
        <v>0.12086151655393557</v>
      </c>
      <c r="O16" s="57">
        <v>0.41793130257509725</v>
      </c>
      <c r="P16" s="14">
        <v>5.0523519787933457E-2</v>
      </c>
      <c r="Q16" s="14">
        <v>2.5836573901823187E-2</v>
      </c>
      <c r="R16" s="14">
        <v>2.4973686728543748E-2</v>
      </c>
      <c r="S16" s="57">
        <v>1.9555038520168577</v>
      </c>
      <c r="T16" s="14">
        <v>2.8865355413411953E-2</v>
      </c>
      <c r="U16" s="14">
        <v>2.5803407317573222E-2</v>
      </c>
      <c r="V16" s="14">
        <v>1.8770449457551523E-2</v>
      </c>
      <c r="W16" s="57">
        <v>1.1186644871413325</v>
      </c>
      <c r="X16" s="31">
        <v>43281</v>
      </c>
      <c r="Y16" s="33">
        <v>8</v>
      </c>
      <c r="Z16" s="48" t="s">
        <v>113</v>
      </c>
      <c r="AA16" s="48" t="s">
        <v>112</v>
      </c>
      <c r="AB16" s="48" t="s">
        <v>114</v>
      </c>
      <c r="AC16" s="48" t="s">
        <v>114</v>
      </c>
      <c r="AD16" s="48" t="s">
        <v>112</v>
      </c>
      <c r="AE16" s="48" t="s">
        <v>33</v>
      </c>
    </row>
    <row r="17" spans="1:31" s="8" customFormat="1" ht="21.75" customHeight="1" x14ac:dyDescent="0.35">
      <c r="A17" s="12" t="s">
        <v>58</v>
      </c>
      <c r="B17" s="13" t="s">
        <v>65</v>
      </c>
      <c r="C17" s="14">
        <v>2.0372061292907029E-2</v>
      </c>
      <c r="D17" s="14">
        <v>0.43769263148378856</v>
      </c>
      <c r="E17" s="14">
        <v>4.5985274361970148E-2</v>
      </c>
      <c r="F17" s="14">
        <v>0.5610931936704544</v>
      </c>
      <c r="G17" s="57">
        <v>0.44301271603926184</v>
      </c>
      <c r="H17" s="14">
        <v>1.3443085455342674E-2</v>
      </c>
      <c r="I17" s="14">
        <v>1.4623260714679556E-2</v>
      </c>
      <c r="J17" s="14">
        <v>6.8206776927071125E-2</v>
      </c>
      <c r="K17" s="57">
        <v>0.91929465784931508</v>
      </c>
      <c r="L17" s="14">
        <v>2.5245646939758615E-2</v>
      </c>
      <c r="M17" s="14">
        <v>1.6202137341200198E-2</v>
      </c>
      <c r="N17" s="14">
        <v>3.2382458434192601E-2</v>
      </c>
      <c r="O17" s="57">
        <v>1.5581676915897877</v>
      </c>
      <c r="P17" s="14">
        <v>4.6503945459868357E-2</v>
      </c>
      <c r="Q17" s="14">
        <v>1.6804802336319064E-2</v>
      </c>
      <c r="R17" s="14">
        <v>1.253524338877412E-2</v>
      </c>
      <c r="S17" s="57">
        <v>2.7673009494055503</v>
      </c>
      <c r="T17" s="14">
        <v>3.6681377917015645E-2</v>
      </c>
      <c r="U17" s="14">
        <v>1.5863572415864804E-2</v>
      </c>
      <c r="V17" s="14">
        <v>1.253524338877412E-2</v>
      </c>
      <c r="W17" s="57">
        <v>2.3123024849264988</v>
      </c>
      <c r="X17" s="31">
        <v>43830</v>
      </c>
      <c r="Y17" s="33">
        <v>8</v>
      </c>
      <c r="Z17" s="48" t="s">
        <v>113</v>
      </c>
      <c r="AA17" s="48" t="s">
        <v>112</v>
      </c>
      <c r="AB17" s="48" t="s">
        <v>114</v>
      </c>
      <c r="AC17" s="48" t="s">
        <v>114</v>
      </c>
      <c r="AD17" s="48" t="s">
        <v>112</v>
      </c>
      <c r="AE17" s="48" t="s">
        <v>33</v>
      </c>
    </row>
    <row r="18" spans="1:31" s="8" customFormat="1" ht="21.75" customHeight="1" x14ac:dyDescent="0.35">
      <c r="A18" s="12" t="s">
        <v>50</v>
      </c>
      <c r="B18" s="13" t="s">
        <v>66</v>
      </c>
      <c r="C18" s="14">
        <v>1.9763370316381756E-2</v>
      </c>
      <c r="D18" s="14">
        <v>0.42233200217825351</v>
      </c>
      <c r="E18" s="14">
        <v>2.7416045810878982E-2</v>
      </c>
      <c r="F18" s="14">
        <v>0.1207925770403388</v>
      </c>
      <c r="G18" s="57">
        <v>0.72086873696933484</v>
      </c>
      <c r="H18" s="14">
        <v>4.5309457145024101E-3</v>
      </c>
      <c r="I18" s="14">
        <v>2.7218083414845849E-2</v>
      </c>
      <c r="J18" s="14">
        <v>0.1207925770403388</v>
      </c>
      <c r="K18" s="57">
        <v>0.16646821326262259</v>
      </c>
      <c r="L18" s="14">
        <v>-2.3761872350088753E-3</v>
      </c>
      <c r="M18" s="14">
        <v>3.0174729043918096E-2</v>
      </c>
      <c r="N18" s="14">
        <v>0.11628640453987807</v>
      </c>
      <c r="O18" s="57">
        <v>-7.8747591454771018E-2</v>
      </c>
      <c r="P18" s="14">
        <v>3.4923932079438336E-2</v>
      </c>
      <c r="Q18" s="14">
        <v>3.0302944442387975E-2</v>
      </c>
      <c r="R18" s="14">
        <v>2.7711559449118208E-2</v>
      </c>
      <c r="S18" s="57">
        <v>1.1524930240965789</v>
      </c>
      <c r="T18" s="14">
        <v>2.5073712867362374E-2</v>
      </c>
      <c r="U18" s="14">
        <v>2.1759185043374669E-2</v>
      </c>
      <c r="V18" s="14">
        <v>1.3858617806612197E-2</v>
      </c>
      <c r="W18" s="57">
        <v>1.1523277557215741</v>
      </c>
      <c r="X18" s="31">
        <v>42370</v>
      </c>
      <c r="Y18" s="33">
        <v>8</v>
      </c>
      <c r="Z18" s="48" t="s">
        <v>32</v>
      </c>
      <c r="AA18" s="48" t="s">
        <v>32</v>
      </c>
      <c r="AB18" s="48" t="s">
        <v>32</v>
      </c>
      <c r="AC18" s="48" t="s">
        <v>32</v>
      </c>
      <c r="AD18" s="48" t="s">
        <v>32</v>
      </c>
      <c r="AE18" s="48" t="s">
        <v>31</v>
      </c>
    </row>
    <row r="19" spans="1:31" s="8" customFormat="1" ht="21.75" customHeight="1" x14ac:dyDescent="0.35">
      <c r="A19" s="12" t="s">
        <v>59</v>
      </c>
      <c r="B19" s="13" t="s">
        <v>67</v>
      </c>
      <c r="C19" s="14">
        <v>2.3078364538905882E-2</v>
      </c>
      <c r="D19" s="14">
        <v>0.50790428238860907</v>
      </c>
      <c r="E19" s="14">
        <v>4.4465693726335666E-2</v>
      </c>
      <c r="F19" s="14">
        <v>0.26069374550682956</v>
      </c>
      <c r="G19" s="57">
        <v>0.51901505643748169</v>
      </c>
      <c r="H19" s="14">
        <v>5.0758325599931098E-4</v>
      </c>
      <c r="I19" s="14">
        <v>4.9877879755765311E-2</v>
      </c>
      <c r="J19" s="14">
        <v>0.26069374550682956</v>
      </c>
      <c r="K19" s="57">
        <v>1.0176520302883166E-2</v>
      </c>
      <c r="L19" s="14">
        <v>-3.5051706041880681E-2</v>
      </c>
      <c r="M19" s="14">
        <v>5.8965611590729085E-2</v>
      </c>
      <c r="N19" s="14">
        <v>0.2599733145435737</v>
      </c>
      <c r="O19" s="57">
        <v>-0.59444318639767513</v>
      </c>
      <c r="P19" s="14">
        <v>2.9159243417989256E-2</v>
      </c>
      <c r="Q19" s="14">
        <v>5.5520378381021328E-2</v>
      </c>
      <c r="R19" s="14">
        <v>7.3327325974318444E-2</v>
      </c>
      <c r="S19" s="57">
        <v>0.52519893178460098</v>
      </c>
      <c r="T19" s="14">
        <v>2.0532654492797953E-2</v>
      </c>
      <c r="U19" s="14">
        <v>4.1620781177238698E-2</v>
      </c>
      <c r="V19" s="14">
        <v>2.6573502525206724E-2</v>
      </c>
      <c r="W19" s="57">
        <v>0.49332698503089889</v>
      </c>
      <c r="X19" s="31">
        <v>42370</v>
      </c>
      <c r="Y19" s="33">
        <v>8</v>
      </c>
      <c r="Z19" s="48" t="s">
        <v>114</v>
      </c>
      <c r="AA19" s="48" t="s">
        <v>114</v>
      </c>
      <c r="AB19" s="48" t="s">
        <v>114</v>
      </c>
      <c r="AC19" s="48" t="s">
        <v>114</v>
      </c>
      <c r="AD19" s="48" t="s">
        <v>114</v>
      </c>
      <c r="AE19" s="48" t="s">
        <v>33</v>
      </c>
    </row>
    <row r="20" spans="1:31" s="8" customFormat="1" ht="21.5" customHeight="1" x14ac:dyDescent="0.35">
      <c r="A20" s="12" t="s">
        <v>42</v>
      </c>
      <c r="B20" s="13" t="s">
        <v>43</v>
      </c>
      <c r="C20" s="14">
        <v>2.9094228723100413E-2</v>
      </c>
      <c r="D20" s="14">
        <v>0.67575150300601217</v>
      </c>
      <c r="E20" s="14">
        <v>4.64774903782329E-2</v>
      </c>
      <c r="F20" s="14">
        <v>0.23374704491725759</v>
      </c>
      <c r="G20" s="57">
        <v>0.62598536380368552</v>
      </c>
      <c r="H20" s="14">
        <v>1.6707543370806377E-2</v>
      </c>
      <c r="I20" s="14">
        <v>4.1950672584036709E-2</v>
      </c>
      <c r="J20" s="14">
        <v>0.17416131334760884</v>
      </c>
      <c r="K20" s="57">
        <v>0.39826640055263429</v>
      </c>
      <c r="L20" s="14">
        <v>8.1530406773433484E-4</v>
      </c>
      <c r="M20" s="14">
        <v>3.8415747635835773E-2</v>
      </c>
      <c r="N20" s="14">
        <v>0.17416131334760884</v>
      </c>
      <c r="O20" s="57">
        <v>2.1223173253402623E-2</v>
      </c>
      <c r="P20" s="14">
        <v>5.2906623384214813E-2</v>
      </c>
      <c r="Q20" s="14">
        <v>3.4445753470326072E-2</v>
      </c>
      <c r="R20" s="14">
        <v>3.3465759881489456E-2</v>
      </c>
      <c r="S20" s="57">
        <v>1.5359403715698132</v>
      </c>
      <c r="T20" s="14">
        <v>2.7102260732409178E-2</v>
      </c>
      <c r="U20" s="14">
        <v>2.688381228710629E-2</v>
      </c>
      <c r="V20" s="14">
        <v>2.0848529054218374E-2</v>
      </c>
      <c r="W20" s="57">
        <v>1.0081256498509201</v>
      </c>
      <c r="X20" s="31">
        <v>42916</v>
      </c>
      <c r="Y20" s="33">
        <v>8</v>
      </c>
      <c r="Z20" s="48" t="s">
        <v>114</v>
      </c>
      <c r="AA20" s="48" t="s">
        <v>114</v>
      </c>
      <c r="AB20" s="48" t="s">
        <v>114</v>
      </c>
      <c r="AC20" s="48" t="s">
        <v>114</v>
      </c>
      <c r="AD20" s="48" t="s">
        <v>114</v>
      </c>
      <c r="AE20" s="48" t="s">
        <v>33</v>
      </c>
    </row>
    <row r="21" spans="1:31" s="8" customFormat="1" ht="21.75" customHeight="1" x14ac:dyDescent="0.35">
      <c r="A21" s="12" t="s">
        <v>157</v>
      </c>
      <c r="B21" s="13" t="s">
        <v>222</v>
      </c>
      <c r="C21" s="14">
        <v>1.4382538578723292E-2</v>
      </c>
      <c r="D21" s="14">
        <v>0.29312424607961374</v>
      </c>
      <c r="E21" s="14">
        <v>2.6351467888854181E-2</v>
      </c>
      <c r="F21" s="14">
        <v>0.12990961550394012</v>
      </c>
      <c r="G21" s="57">
        <v>0.54579648615349585</v>
      </c>
      <c r="H21" s="14">
        <v>-9.8375995612087763E-4</v>
      </c>
      <c r="I21" s="14">
        <v>2.663070315389196E-2</v>
      </c>
      <c r="J21" s="14">
        <v>0.12990961550394012</v>
      </c>
      <c r="K21" s="57">
        <v>-3.6940817913668399E-2</v>
      </c>
      <c r="L21" s="14">
        <v>-8.8469205739160062E-3</v>
      </c>
      <c r="M21" s="14">
        <v>3.3484536419228404E-2</v>
      </c>
      <c r="N21" s="14">
        <v>0.12866611433305716</v>
      </c>
      <c r="O21" s="57">
        <v>-0.26420914009834362</v>
      </c>
      <c r="P21" s="14">
        <v>3.0941698318231126E-2</v>
      </c>
      <c r="Q21" s="14">
        <v>3.3432006370784507E-2</v>
      </c>
      <c r="R21" s="14">
        <v>2.4260751136862012E-2</v>
      </c>
      <c r="S21" s="57">
        <v>0.92551125933232636</v>
      </c>
      <c r="T21" s="14">
        <v>2.1215852900781318E-2</v>
      </c>
      <c r="U21" s="14">
        <v>2.7053792643672938E-2</v>
      </c>
      <c r="V21" s="14">
        <v>1.737447491697635E-2</v>
      </c>
      <c r="W21" s="57">
        <v>0.7842099324193299</v>
      </c>
      <c r="X21" s="31">
        <v>44926</v>
      </c>
      <c r="Y21" s="33">
        <v>8</v>
      </c>
      <c r="Z21" s="48" t="s">
        <v>114</v>
      </c>
      <c r="AA21" s="48" t="s">
        <v>114</v>
      </c>
      <c r="AB21" s="48" t="s">
        <v>114</v>
      </c>
      <c r="AC21" s="48" t="s">
        <v>114</v>
      </c>
      <c r="AD21" s="48" t="s">
        <v>114</v>
      </c>
      <c r="AE21" s="48" t="s">
        <v>54</v>
      </c>
    </row>
    <row r="22" spans="1:31" s="8" customFormat="1" ht="21.75" customHeight="1" x14ac:dyDescent="0.35">
      <c r="A22" s="12" t="s">
        <v>60</v>
      </c>
      <c r="B22" s="13" t="s">
        <v>68</v>
      </c>
      <c r="C22" s="14">
        <v>2.3365543005497313E-2</v>
      </c>
      <c r="D22" s="14">
        <v>0.51554191710413955</v>
      </c>
      <c r="E22" s="14">
        <v>4.5031979330768281E-2</v>
      </c>
      <c r="F22" s="14">
        <v>0.22155281625126516</v>
      </c>
      <c r="G22" s="57">
        <v>0.51886555627220032</v>
      </c>
      <c r="H22" s="14">
        <v>-2.6995182096967163E-4</v>
      </c>
      <c r="I22" s="14">
        <v>4.9570084308005573E-2</v>
      </c>
      <c r="J22" s="14">
        <v>0.22155281625126516</v>
      </c>
      <c r="K22" s="57">
        <v>-5.4458616469626299E-3</v>
      </c>
      <c r="L22" s="14">
        <v>-2.8574692492912779E-2</v>
      </c>
      <c r="M22" s="14">
        <v>6.0004609819903139E-2</v>
      </c>
      <c r="N22" s="14">
        <v>0.22022828485456367</v>
      </c>
      <c r="O22" s="57">
        <v>-0.47620828764117284</v>
      </c>
      <c r="P22" s="14">
        <v>3.1268986507969165E-2</v>
      </c>
      <c r="Q22" s="14">
        <v>5.5461266408914051E-2</v>
      </c>
      <c r="R22" s="14">
        <v>5.3253316641539677E-2</v>
      </c>
      <c r="S22" s="57">
        <v>0.56379863880900194</v>
      </c>
      <c r="T22" s="14">
        <v>6.4482174544953086E-3</v>
      </c>
      <c r="U22" s="14">
        <v>3.9168803369996785E-2</v>
      </c>
      <c r="V22" s="14">
        <v>2.8981319846188597E-2</v>
      </c>
      <c r="W22" s="57">
        <v>0.16462635821636126</v>
      </c>
      <c r="X22" s="31">
        <v>41640</v>
      </c>
      <c r="Y22" s="33">
        <v>6</v>
      </c>
      <c r="Z22" s="33" t="s">
        <v>114</v>
      </c>
      <c r="AA22" s="33" t="s">
        <v>112</v>
      </c>
      <c r="AB22" s="33" t="s">
        <v>114</v>
      </c>
      <c r="AC22" s="33" t="s">
        <v>114</v>
      </c>
      <c r="AD22" s="33" t="s">
        <v>112</v>
      </c>
      <c r="AE22" s="33" t="s">
        <v>33</v>
      </c>
    </row>
    <row r="23" spans="1:31" s="8" customFormat="1" ht="21.75" customHeight="1" x14ac:dyDescent="0.35">
      <c r="A23" s="12"/>
      <c r="B23" s="13"/>
      <c r="C23" s="14"/>
      <c r="D23" s="14"/>
      <c r="E23" s="14"/>
      <c r="F23" s="14"/>
      <c r="G23" s="25"/>
      <c r="H23" s="14"/>
      <c r="I23" s="14"/>
      <c r="J23" s="14"/>
      <c r="K23" s="25"/>
      <c r="L23" s="14"/>
      <c r="M23" s="14"/>
      <c r="N23" s="14"/>
      <c r="O23" s="25"/>
      <c r="P23" s="14"/>
      <c r="Q23" s="14"/>
      <c r="R23" s="14"/>
      <c r="S23" s="25"/>
      <c r="T23" s="14"/>
      <c r="U23" s="14"/>
      <c r="V23" s="14"/>
      <c r="W23" s="25"/>
      <c r="X23" s="16"/>
      <c r="Y23" s="28"/>
      <c r="Z23" s="15"/>
      <c r="AA23" s="15"/>
      <c r="AB23" s="15"/>
      <c r="AC23" s="15"/>
      <c r="AD23" s="62"/>
      <c r="AE23" s="62"/>
    </row>
    <row r="24" spans="1:31" s="8" customFormat="1" ht="21.75" customHeight="1" x14ac:dyDescent="0.35">
      <c r="A24" s="36" t="s">
        <v>2</v>
      </c>
      <c r="B24" s="36" t="s">
        <v>3</v>
      </c>
      <c r="C24" s="37">
        <f>AVERAGE(Table10[Performance annualisée depuis 01/08])</f>
        <v>2.5664626055600909E-2</v>
      </c>
      <c r="D24" s="37">
        <f>AVERAGE(Table10[Perf. Totale depuis 01/08])</f>
        <v>0.5877193775040902</v>
      </c>
      <c r="E24" s="37">
        <f>AVERAGE(Table10[Volatilité annualisée depuis 01/08])</f>
        <v>3.3389093884692848E-2</v>
      </c>
      <c r="F24" s="37">
        <f>AVERAGE(Table10[Max Drawdown depuis 01/08])</f>
        <v>0.20074042205758541</v>
      </c>
      <c r="G24" s="42">
        <f>AVERAGE(Table10[Couple Rendement / Risque depuis 01/08])</f>
        <v>0.84038642899352411</v>
      </c>
      <c r="H24" s="37">
        <f>AVERAGE(Table10[Performance annualisée 10 ans])</f>
        <v>9.3840945214961041E-3</v>
      </c>
      <c r="I24" s="37">
        <f>AVERAGE(Table10[Volatilité annualisée 10 ans])</f>
        <v>2.9957094239790497E-2</v>
      </c>
      <c r="J24" s="37">
        <f>AVERAGE(Table10[Max Drawdown 10 ans])</f>
        <v>0.14620299623355487</v>
      </c>
      <c r="K24" s="42">
        <f>AVERAGE(Table10[Couple Rendement Risque 10 ans])</f>
        <v>0.4410413962425328</v>
      </c>
      <c r="L24" s="37">
        <f>AVERAGE(Table10[Performance annualisée 5 ans])</f>
        <v>-9.5370183655568418E-5</v>
      </c>
      <c r="M24" s="37">
        <f>AVERAGE(Table10[Volatilité annualisée 5 ans])</f>
        <v>3.4483350973267865E-2</v>
      </c>
      <c r="N24" s="37">
        <f>AVERAGE(Table10[Max Drawdown 5 ans])</f>
        <v>0.14295881871004743</v>
      </c>
      <c r="O24" s="42">
        <f>AVERAGE(Table10[Couple Rendement Risque 5 ans])</f>
        <v>0.29627628431163577</v>
      </c>
      <c r="P24" s="37">
        <f>AVERAGE(Table10[Performance annualisée 3 ans])</f>
        <v>4.388535972959743E-2</v>
      </c>
      <c r="Q24" s="37">
        <f>AVERAGE(Table10[Volatilité annualisée 3 ans])</f>
        <v>3.2101515692812076E-2</v>
      </c>
      <c r="R24" s="37">
        <f>AVERAGE(Table10[Max Drawdown 3 ans])</f>
        <v>3.1735478762533346E-2</v>
      </c>
      <c r="S24" s="42">
        <f>AVERAGE(Table10[Couple Rendement Risque 3 ans])</f>
        <v>1.8878722045564593</v>
      </c>
      <c r="T24" s="37">
        <f>AVERAGE(Table10[Performance annualisée 1 an])</f>
        <v>2.6090882124020897E-2</v>
      </c>
      <c r="U24" s="37">
        <f>AVERAGE(Table10[Volatilité annualisée 1 an])</f>
        <v>2.4963939881572722E-2</v>
      </c>
      <c r="V24" s="37">
        <f>AVERAGE(Table10[Max Drawdown 1 an])</f>
        <v>1.8416781377715297E-2</v>
      </c>
      <c r="W24" s="42">
        <f>AVERAGE(Table10[Couple Rendement Risque 1 an])</f>
        <v>1.5355393526101466</v>
      </c>
      <c r="X24" s="38"/>
      <c r="Y24" s="37"/>
      <c r="Z24" s="37"/>
      <c r="AA24" s="37"/>
      <c r="AB24" s="37"/>
      <c r="AC24" s="37"/>
      <c r="AD24" s="37"/>
      <c r="AE24" s="37"/>
    </row>
    <row r="25" spans="1:31" s="8" customFormat="1" ht="21.75" customHeight="1" x14ac:dyDescent="0.35">
      <c r="A25" s="7"/>
      <c r="B25" s="2"/>
      <c r="C25" s="2"/>
      <c r="D25" s="2"/>
      <c r="E25" s="5"/>
      <c r="F25" s="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5"/>
      <c r="Z25" s="5"/>
      <c r="AA25" s="5"/>
      <c r="AB25" s="5"/>
      <c r="AC25" s="5"/>
      <c r="AD25" s="61"/>
      <c r="AE25" s="61"/>
    </row>
    <row r="26" spans="1:31" s="8" customFormat="1" ht="21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5"/>
      <c r="Z26" s="5"/>
      <c r="AA26" s="5"/>
      <c r="AB26" s="5"/>
      <c r="AC26" s="5"/>
      <c r="AD26" s="5"/>
      <c r="AE26" s="5"/>
    </row>
    <row r="27" spans="1:31" s="1" customFormat="1" ht="21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5"/>
      <c r="Z27" s="5"/>
      <c r="AA27" s="5"/>
      <c r="AB27" s="5"/>
      <c r="AC27" s="5"/>
      <c r="AD27" s="5"/>
      <c r="AE27" s="5"/>
    </row>
    <row r="28" spans="1:31" ht="21.75" customHeight="1" x14ac:dyDescent="0.35">
      <c r="E28" s="2"/>
      <c r="F28" s="2"/>
    </row>
    <row r="29" spans="1:31" ht="21.75" customHeight="1" x14ac:dyDescent="0.35">
      <c r="E29" s="2"/>
      <c r="F29" s="2"/>
      <c r="AB29" s="63"/>
    </row>
    <row r="30" spans="1:31" ht="21.75" customHeight="1" x14ac:dyDescent="0.35">
      <c r="E30" s="2"/>
      <c r="F30" s="2"/>
    </row>
    <row r="31" spans="1:31" ht="21.75" customHeight="1" x14ac:dyDescent="0.35">
      <c r="E31" s="2"/>
      <c r="F31" s="2"/>
    </row>
    <row r="32" spans="1:31" ht="21.75" customHeight="1" x14ac:dyDescent="0.35">
      <c r="E32" s="2"/>
      <c r="F32" s="2"/>
    </row>
    <row r="33" spans="5:6" x14ac:dyDescent="0.35">
      <c r="E33" s="2"/>
      <c r="F33" s="2"/>
    </row>
    <row r="34" spans="5:6" x14ac:dyDescent="0.35">
      <c r="E34" s="2"/>
      <c r="F34" s="2"/>
    </row>
    <row r="35" spans="5:6" x14ac:dyDescent="0.35">
      <c r="E35" s="2"/>
      <c r="F35" s="2"/>
    </row>
    <row r="36" spans="5:6" x14ac:dyDescent="0.35">
      <c r="E36" s="2"/>
      <c r="F36" s="2"/>
    </row>
    <row r="37" spans="5:6" x14ac:dyDescent="0.35">
      <c r="E37" s="2"/>
      <c r="F37" s="2"/>
    </row>
    <row r="38" spans="5:6" x14ac:dyDescent="0.35">
      <c r="E38" s="2"/>
      <c r="F38" s="2"/>
    </row>
    <row r="39" spans="5:6" x14ac:dyDescent="0.35">
      <c r="E39" s="2"/>
      <c r="F39" s="2"/>
    </row>
    <row r="40" spans="5:6" x14ac:dyDescent="0.35">
      <c r="E40" s="2"/>
      <c r="F40" s="2"/>
    </row>
    <row r="41" spans="5:6" x14ac:dyDescent="0.35">
      <c r="E41" s="2"/>
      <c r="F41" s="2"/>
    </row>
    <row r="42" spans="5:6" x14ac:dyDescent="0.35">
      <c r="E42" s="2"/>
      <c r="F42" s="2"/>
    </row>
    <row r="43" spans="5:6" x14ac:dyDescent="0.35">
      <c r="E43" s="2"/>
      <c r="F43" s="2"/>
    </row>
    <row r="44" spans="5:6" x14ac:dyDescent="0.35">
      <c r="E44" s="2"/>
      <c r="F44" s="2"/>
    </row>
    <row r="45" spans="5:6" x14ac:dyDescent="0.35">
      <c r="E45" s="2"/>
      <c r="F45" s="2"/>
    </row>
    <row r="46" spans="5:6" x14ac:dyDescent="0.35">
      <c r="E46" s="2"/>
      <c r="F46" s="2"/>
    </row>
    <row r="47" spans="5:6" x14ac:dyDescent="0.35">
      <c r="E47" s="2"/>
      <c r="F47" s="2"/>
    </row>
    <row r="48" spans="5:6" x14ac:dyDescent="0.35">
      <c r="E48" s="2"/>
      <c r="F48" s="2"/>
    </row>
    <row r="49" spans="5:6" x14ac:dyDescent="0.35">
      <c r="E49" s="2"/>
      <c r="F49" s="2"/>
    </row>
    <row r="50" spans="5:6" x14ac:dyDescent="0.35">
      <c r="E50" s="2"/>
      <c r="F50" s="2"/>
    </row>
    <row r="51" spans="5:6" x14ac:dyDescent="0.35">
      <c r="E51" s="2"/>
      <c r="F51" s="2"/>
    </row>
    <row r="52" spans="5:6" x14ac:dyDescent="0.35">
      <c r="E52" s="2"/>
      <c r="F52" s="2"/>
    </row>
  </sheetData>
  <sheetProtection selectLockedCells="1"/>
  <phoneticPr fontId="23" type="noConversion"/>
  <conditionalFormatting sqref="C4:C23">
    <cfRule type="iconSet" priority="486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3">
    <cfRule type="iconSet" priority="486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23">
    <cfRule type="iconSet" priority="48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3">
    <cfRule type="iconSet" priority="486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2">
    <cfRule type="iconSet" priority="487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3">
    <cfRule type="iconSet" priority="443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32:X32">
    <cfRule type="iconSet" priority="2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23">
    <cfRule type="iconSet" priority="487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23">
    <cfRule type="iconSet" priority="487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3">
    <cfRule type="iconSet" priority="487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22">
    <cfRule type="iconSet" priority="487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23">
    <cfRule type="iconSet" priority="444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3">
    <cfRule type="iconSet" priority="488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3">
    <cfRule type="iconSet" priority="488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3">
    <cfRule type="iconSet" priority="488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22">
    <cfRule type="iconSet" priority="488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23">
    <cfRule type="iconSet" priority="444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3">
    <cfRule type="iconSet" priority="488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3">
    <cfRule type="iconSet" priority="489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3">
    <cfRule type="iconSet" priority="489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22">
    <cfRule type="iconSet" priority="489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23">
    <cfRule type="iconSet" priority="445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23">
    <cfRule type="iconSet" priority="48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23">
    <cfRule type="iconSet" priority="489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23">
    <cfRule type="iconSet" priority="490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22">
    <cfRule type="iconSet" priority="490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23">
    <cfRule type="iconSet" priority="446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0">
    <tabColor rgb="FF008000"/>
    <pageSetUpPr fitToPage="1"/>
  </sheetPr>
  <dimension ref="A1:AE47"/>
  <sheetViews>
    <sheetView showGridLines="0" zoomScale="70" zoomScaleNormal="70" workbookViewId="0">
      <pane xSplit="1" topLeftCell="B1" activePane="topRight" state="frozenSplit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30" width="13.08203125" style="2" customWidth="1"/>
    <col min="31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s="1" customFormat="1" ht="21" x14ac:dyDescent="0.5">
      <c r="A2" s="17" t="s">
        <v>15</v>
      </c>
      <c r="B2" s="19" t="s">
        <v>22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12" customFormat="1" ht="21.75" customHeight="1" x14ac:dyDescent="0.35">
      <c r="A4" s="12" t="s">
        <v>250</v>
      </c>
      <c r="B4" s="13" t="s">
        <v>253</v>
      </c>
      <c r="C4" s="14" t="s">
        <v>112</v>
      </c>
      <c r="D4" s="14" t="s">
        <v>112</v>
      </c>
      <c r="E4" s="14" t="s">
        <v>112</v>
      </c>
      <c r="F4" s="14" t="s">
        <v>112</v>
      </c>
      <c r="G4" s="57" t="s">
        <v>112</v>
      </c>
      <c r="H4" s="14">
        <v>1.1983840037039339E-2</v>
      </c>
      <c r="I4" s="14">
        <v>3.035406546293876E-2</v>
      </c>
      <c r="J4" s="14">
        <v>0.18694806166741509</v>
      </c>
      <c r="K4" s="57">
        <v>0.39480181169376422</v>
      </c>
      <c r="L4" s="14">
        <v>-1.002062002775761E-2</v>
      </c>
      <c r="M4" s="14">
        <v>3.5534052358536183E-2</v>
      </c>
      <c r="N4" s="14">
        <v>0.18694806166741509</v>
      </c>
      <c r="O4" s="57">
        <v>-0.28200048580584708</v>
      </c>
      <c r="P4" s="14">
        <v>2.9671665356235888E-2</v>
      </c>
      <c r="Q4" s="14">
        <v>3.6732921222388012E-2</v>
      </c>
      <c r="R4" s="14">
        <v>8.6751849361129743E-2</v>
      </c>
      <c r="S4" s="57">
        <v>0.80776764735366524</v>
      </c>
      <c r="T4" s="14">
        <v>3.5507275767485691E-2</v>
      </c>
      <c r="U4" s="14">
        <v>2.3010795754620963E-2</v>
      </c>
      <c r="V4" s="14">
        <v>2.6311528497409326E-2</v>
      </c>
      <c r="W4" s="57">
        <v>1.5430703112627133</v>
      </c>
      <c r="X4" s="31">
        <v>44196</v>
      </c>
      <c r="Y4" s="33">
        <v>8</v>
      </c>
      <c r="Z4" s="48" t="s">
        <v>114</v>
      </c>
      <c r="AA4" s="48" t="s">
        <v>114</v>
      </c>
      <c r="AB4" s="48" t="s">
        <v>114</v>
      </c>
      <c r="AC4" s="48" t="s">
        <v>114</v>
      </c>
      <c r="AD4" s="48" t="s">
        <v>114</v>
      </c>
      <c r="AE4" s="49" t="s">
        <v>33</v>
      </c>
    </row>
    <row r="5" spans="1:31" s="12" customFormat="1" ht="21.75" customHeight="1" x14ac:dyDescent="0.35">
      <c r="A5" s="12" t="s">
        <v>265</v>
      </c>
      <c r="B5" s="13" t="s">
        <v>266</v>
      </c>
      <c r="C5" s="14">
        <v>3.6091832956840264E-2</v>
      </c>
      <c r="D5" s="14">
        <v>0.89316987740805609</v>
      </c>
      <c r="E5" s="14">
        <v>5.293943894855551E-2</v>
      </c>
      <c r="F5" s="14">
        <v>0.25393575714789973</v>
      </c>
      <c r="G5" s="57">
        <v>0.68175699768773346</v>
      </c>
      <c r="H5" s="14">
        <v>2.0122465540618473E-2</v>
      </c>
      <c r="I5" s="14">
        <v>2.1863992889025272E-2</v>
      </c>
      <c r="J5" s="14">
        <v>8.3195452038521966E-2</v>
      </c>
      <c r="K5" s="58">
        <v>0.92034724136408919</v>
      </c>
      <c r="L5" s="14">
        <v>2.1680522233312294E-2</v>
      </c>
      <c r="M5" s="14">
        <v>2.0478663086605328E-2</v>
      </c>
      <c r="N5" s="14">
        <v>8.3195452038521966E-2</v>
      </c>
      <c r="O5" s="58">
        <v>1.0586883597637327</v>
      </c>
      <c r="P5" s="14">
        <v>4.6366224372220932E-2</v>
      </c>
      <c r="Q5" s="14">
        <v>1.1770066139058901E-2</v>
      </c>
      <c r="R5" s="14">
        <v>1.3589198107063881E-2</v>
      </c>
      <c r="S5" s="58">
        <v>3.9393342250095662</v>
      </c>
      <c r="T5" s="14">
        <v>3.3031140129435643E-2</v>
      </c>
      <c r="U5" s="14">
        <v>7.6603864836752127E-3</v>
      </c>
      <c r="V5" s="14">
        <v>6.6075809131914852E-3</v>
      </c>
      <c r="W5" s="57">
        <v>4.3119417277218552</v>
      </c>
      <c r="X5" s="31">
        <v>46022</v>
      </c>
      <c r="Y5" s="33">
        <v>8</v>
      </c>
      <c r="Z5" s="28" t="s">
        <v>32</v>
      </c>
      <c r="AA5" s="15" t="s">
        <v>32</v>
      </c>
      <c r="AB5" s="15" t="s">
        <v>32</v>
      </c>
      <c r="AC5" s="48" t="s">
        <v>32</v>
      </c>
      <c r="AD5" s="48" t="s">
        <v>32</v>
      </c>
      <c r="AE5" s="49" t="s">
        <v>33</v>
      </c>
    </row>
    <row r="6" spans="1:31" s="12" customFormat="1" ht="21.75" customHeight="1" x14ac:dyDescent="0.35">
      <c r="A6" s="12" t="s">
        <v>34</v>
      </c>
      <c r="B6" s="13" t="s">
        <v>159</v>
      </c>
      <c r="C6" s="14">
        <v>2.0600894298205885E-2</v>
      </c>
      <c r="D6" s="14">
        <v>0.44350776679999382</v>
      </c>
      <c r="E6" s="14">
        <v>2.5740467960999193E-2</v>
      </c>
      <c r="F6" s="14">
        <v>0.13920236386097318</v>
      </c>
      <c r="G6" s="57">
        <v>0.80033099357087989</v>
      </c>
      <c r="H6" s="14">
        <v>2.1516290227654444E-2</v>
      </c>
      <c r="I6" s="14">
        <v>3.1804909476520635E-2</v>
      </c>
      <c r="J6" s="14">
        <v>0.13920236386097318</v>
      </c>
      <c r="K6" s="57">
        <v>0.67650845676949445</v>
      </c>
      <c r="L6" s="14">
        <v>1.4692937029615161E-2</v>
      </c>
      <c r="M6" s="14">
        <v>3.5071019787157737E-2</v>
      </c>
      <c r="N6" s="14">
        <v>0.13920236386097318</v>
      </c>
      <c r="O6" s="57">
        <v>0.41894809785358461</v>
      </c>
      <c r="P6" s="14">
        <v>5.1638785453890224E-2</v>
      </c>
      <c r="Q6" s="14">
        <v>3.4207492762046814E-2</v>
      </c>
      <c r="R6" s="14">
        <v>5.468219610471059E-2</v>
      </c>
      <c r="S6" s="57">
        <v>1.5095752796937931</v>
      </c>
      <c r="T6" s="14">
        <v>4.6921015759546103E-2</v>
      </c>
      <c r="U6" s="14">
        <v>1.7984600353785723E-2</v>
      </c>
      <c r="V6" s="14">
        <v>1.1005937938953884E-2</v>
      </c>
      <c r="W6" s="57">
        <v>2.6089551525491266</v>
      </c>
      <c r="X6" s="31">
        <v>44196</v>
      </c>
      <c r="Y6" s="33">
        <v>8</v>
      </c>
      <c r="Z6" s="48" t="s">
        <v>113</v>
      </c>
      <c r="AA6" s="48" t="s">
        <v>112</v>
      </c>
      <c r="AB6" s="48" t="s">
        <v>114</v>
      </c>
      <c r="AC6" s="48" t="s">
        <v>114</v>
      </c>
      <c r="AD6" s="48" t="s">
        <v>112</v>
      </c>
      <c r="AE6" s="49" t="s">
        <v>33</v>
      </c>
    </row>
    <row r="7" spans="1:31" s="12" customFormat="1" ht="21.75" customHeight="1" x14ac:dyDescent="0.35">
      <c r="A7" s="12" t="s">
        <v>35</v>
      </c>
      <c r="B7" s="13" t="s">
        <v>160</v>
      </c>
      <c r="C7" s="14" t="s">
        <v>112</v>
      </c>
      <c r="D7" s="14" t="s">
        <v>112</v>
      </c>
      <c r="E7" s="14" t="s">
        <v>112</v>
      </c>
      <c r="F7" s="14" t="s">
        <v>112</v>
      </c>
      <c r="G7" s="57" t="s">
        <v>112</v>
      </c>
      <c r="H7" s="14" t="s">
        <v>112</v>
      </c>
      <c r="I7" s="14" t="s">
        <v>112</v>
      </c>
      <c r="J7" s="14" t="s">
        <v>112</v>
      </c>
      <c r="K7" s="57" t="s">
        <v>112</v>
      </c>
      <c r="L7" s="14">
        <v>5.5370143980448816E-2</v>
      </c>
      <c r="M7" s="14">
        <v>2.8566246133087388E-2</v>
      </c>
      <c r="N7" s="14">
        <v>3.2845412352731224E-2</v>
      </c>
      <c r="O7" s="57">
        <v>1.9383066197247145</v>
      </c>
      <c r="P7" s="14">
        <v>5.3175853385672545E-2</v>
      </c>
      <c r="Q7" s="14">
        <v>2.3389165716668454E-2</v>
      </c>
      <c r="R7" s="14">
        <v>2.4452133794694398E-2</v>
      </c>
      <c r="S7" s="57">
        <v>2.2735250170884207</v>
      </c>
      <c r="T7" s="14">
        <v>5.6814367369680374E-2</v>
      </c>
      <c r="U7" s="14">
        <v>2.2416413493706287E-2</v>
      </c>
      <c r="V7" s="14">
        <v>2.4452133794694398E-2</v>
      </c>
      <c r="W7" s="57">
        <v>2.534498544364904</v>
      </c>
      <c r="X7" s="31">
        <v>45859</v>
      </c>
      <c r="Y7" s="33">
        <v>8</v>
      </c>
      <c r="Z7" s="48" t="s">
        <v>32</v>
      </c>
      <c r="AA7" s="48" t="s">
        <v>32</v>
      </c>
      <c r="AB7" s="48" t="s">
        <v>32</v>
      </c>
      <c r="AC7" s="48" t="s">
        <v>32</v>
      </c>
      <c r="AD7" s="48" t="s">
        <v>32</v>
      </c>
      <c r="AE7" s="49" t="s">
        <v>33</v>
      </c>
    </row>
    <row r="8" spans="1:31" s="12" customFormat="1" ht="21.75" customHeight="1" x14ac:dyDescent="0.35">
      <c r="A8" s="12" t="s">
        <v>156</v>
      </c>
      <c r="B8" s="13" t="s">
        <v>223</v>
      </c>
      <c r="C8" s="14" t="s">
        <v>112</v>
      </c>
      <c r="D8" s="14" t="s">
        <v>112</v>
      </c>
      <c r="E8" s="14" t="s">
        <v>112</v>
      </c>
      <c r="F8" s="14" t="s">
        <v>112</v>
      </c>
      <c r="G8" s="57" t="s">
        <v>112</v>
      </c>
      <c r="H8" s="14">
        <v>2.6742060910011078E-2</v>
      </c>
      <c r="I8" s="14">
        <v>2.5277100494681275E-2</v>
      </c>
      <c r="J8" s="14">
        <v>0.10106082834894475</v>
      </c>
      <c r="K8" s="57">
        <v>1.057956030820784</v>
      </c>
      <c r="L8" s="14">
        <v>3.3770404514284813E-2</v>
      </c>
      <c r="M8" s="14">
        <v>1.8907138878194583E-2</v>
      </c>
      <c r="N8" s="14">
        <v>5.9720887180034814E-2</v>
      </c>
      <c r="O8" s="57">
        <v>1.7861192395022754</v>
      </c>
      <c r="P8" s="14">
        <v>5.5733871693872894E-2</v>
      </c>
      <c r="Q8" s="14">
        <v>1.818806236393802E-2</v>
      </c>
      <c r="R8" s="14">
        <v>2.2094722212323111E-2</v>
      </c>
      <c r="S8" s="57">
        <v>3.0643105669341666</v>
      </c>
      <c r="T8" s="14">
        <v>4.9420181245506845E-2</v>
      </c>
      <c r="U8" s="14">
        <v>1.236389613598847E-2</v>
      </c>
      <c r="V8" s="14">
        <v>1.1705014370353662E-2</v>
      </c>
      <c r="W8" s="57">
        <v>3.9971365580835005</v>
      </c>
      <c r="X8" s="31" t="s">
        <v>112</v>
      </c>
      <c r="Y8" s="33">
        <v>6</v>
      </c>
      <c r="Z8" s="48" t="s">
        <v>32</v>
      </c>
      <c r="AA8" s="48" t="s">
        <v>32</v>
      </c>
      <c r="AB8" s="48" t="s">
        <v>32</v>
      </c>
      <c r="AC8" s="48" t="s">
        <v>32</v>
      </c>
      <c r="AD8" s="48" t="s">
        <v>32</v>
      </c>
      <c r="AE8" s="49" t="s">
        <v>31</v>
      </c>
    </row>
    <row r="9" spans="1:31" s="12" customFormat="1" ht="21.75" customHeight="1" x14ac:dyDescent="0.35">
      <c r="A9" s="12" t="s">
        <v>48</v>
      </c>
      <c r="B9" s="13" t="s">
        <v>146</v>
      </c>
      <c r="C9" s="14" t="s">
        <v>112</v>
      </c>
      <c r="D9" s="14" t="s">
        <v>112</v>
      </c>
      <c r="E9" s="14" t="s">
        <v>112</v>
      </c>
      <c r="F9" s="14" t="s">
        <v>112</v>
      </c>
      <c r="G9" s="57" t="s">
        <v>112</v>
      </c>
      <c r="H9" s="14">
        <v>8.2500658562760787E-3</v>
      </c>
      <c r="I9" s="14">
        <v>2.8278956679331106E-2</v>
      </c>
      <c r="J9" s="14">
        <v>0.1781564678543765</v>
      </c>
      <c r="K9" s="57">
        <v>0.29173869283183262</v>
      </c>
      <c r="L9" s="14">
        <v>-1.1191520850800329E-2</v>
      </c>
      <c r="M9" s="14">
        <v>3.3263478533383538E-2</v>
      </c>
      <c r="N9" s="14">
        <v>0.1781564678543765</v>
      </c>
      <c r="O9" s="57">
        <v>-0.33645070642772418</v>
      </c>
      <c r="P9" s="14">
        <v>3.348655844834636E-2</v>
      </c>
      <c r="Q9" s="14">
        <v>3.3718461982269771E-2</v>
      </c>
      <c r="R9" s="14">
        <v>5.4878048780487867E-2</v>
      </c>
      <c r="S9" s="57">
        <v>0.99312235729953069</v>
      </c>
      <c r="T9" s="14">
        <v>2.3925981757894066E-2</v>
      </c>
      <c r="U9" s="14">
        <v>3.4838519521312714E-2</v>
      </c>
      <c r="V9" s="14">
        <v>2.4034712135228273E-2</v>
      </c>
      <c r="W9" s="57">
        <v>0.6867680397055097</v>
      </c>
      <c r="X9" s="31" t="s">
        <v>112</v>
      </c>
      <c r="Y9" s="33">
        <v>8</v>
      </c>
      <c r="Z9" s="48" t="s">
        <v>114</v>
      </c>
      <c r="AA9" s="48" t="s">
        <v>112</v>
      </c>
      <c r="AB9" s="48" t="s">
        <v>114</v>
      </c>
      <c r="AC9" s="48" t="s">
        <v>114</v>
      </c>
      <c r="AD9" s="48" t="s">
        <v>112</v>
      </c>
      <c r="AE9" s="49" t="s">
        <v>33</v>
      </c>
    </row>
    <row r="10" spans="1:31" s="12" customFormat="1" ht="21.75" customHeight="1" x14ac:dyDescent="0.35">
      <c r="A10" s="12" t="s">
        <v>75</v>
      </c>
      <c r="B10" s="13" t="s">
        <v>161</v>
      </c>
      <c r="C10" s="14" t="s">
        <v>112</v>
      </c>
      <c r="D10" s="14" t="s">
        <v>112</v>
      </c>
      <c r="E10" s="14" t="s">
        <v>112</v>
      </c>
      <c r="F10" s="14" t="s">
        <v>112</v>
      </c>
      <c r="G10" s="57" t="s">
        <v>112</v>
      </c>
      <c r="H10" s="14">
        <v>1.047710009563918E-2</v>
      </c>
      <c r="I10" s="14">
        <v>3.6739376339520319E-2</v>
      </c>
      <c r="J10" s="14">
        <v>0.19058823529411767</v>
      </c>
      <c r="K10" s="57">
        <v>0.28517359681930771</v>
      </c>
      <c r="L10" s="14">
        <v>-1.3207350873137291E-2</v>
      </c>
      <c r="M10" s="14">
        <v>3.9334257674512971E-2</v>
      </c>
      <c r="N10" s="14">
        <v>0.19058823529411767</v>
      </c>
      <c r="O10" s="57">
        <v>-0.33577221623010639</v>
      </c>
      <c r="P10" s="14">
        <v>3.9241608523519211E-2</v>
      </c>
      <c r="Q10" s="14">
        <v>4.0804922366931826E-2</v>
      </c>
      <c r="R10" s="14">
        <v>3.4293552812071332E-2</v>
      </c>
      <c r="S10" s="57">
        <v>0.9616881064163102</v>
      </c>
      <c r="T10" s="14">
        <v>1.4076198243433868E-2</v>
      </c>
      <c r="U10" s="14">
        <v>2.9125671973434103E-2</v>
      </c>
      <c r="V10" s="14">
        <v>2.8462998102466861E-2</v>
      </c>
      <c r="W10" s="57">
        <v>0.48329179344850648</v>
      </c>
      <c r="X10" s="31">
        <v>45838</v>
      </c>
      <c r="Y10" s="33">
        <v>8</v>
      </c>
      <c r="Z10" s="48" t="s">
        <v>114</v>
      </c>
      <c r="AA10" s="48" t="s">
        <v>114</v>
      </c>
      <c r="AB10" s="48" t="s">
        <v>114</v>
      </c>
      <c r="AC10" s="48" t="s">
        <v>114</v>
      </c>
      <c r="AD10" s="48" t="s">
        <v>114</v>
      </c>
      <c r="AE10" s="49" t="s">
        <v>33</v>
      </c>
    </row>
    <row r="11" spans="1:31" s="12" customFormat="1" ht="21.75" customHeight="1" x14ac:dyDescent="0.35">
      <c r="A11" s="12" t="s">
        <v>49</v>
      </c>
      <c r="B11" s="13" t="s">
        <v>224</v>
      </c>
      <c r="C11" s="14" t="s">
        <v>112</v>
      </c>
      <c r="D11" s="14" t="s">
        <v>112</v>
      </c>
      <c r="E11" s="14" t="s">
        <v>112</v>
      </c>
      <c r="F11" s="14" t="s">
        <v>112</v>
      </c>
      <c r="G11" s="57" t="s">
        <v>112</v>
      </c>
      <c r="H11" s="14">
        <v>-3.9819822590108078E-3</v>
      </c>
      <c r="I11" s="14">
        <v>3.2637251272245441E-2</v>
      </c>
      <c r="J11" s="14">
        <v>0.18513323983169702</v>
      </c>
      <c r="K11" s="57">
        <v>-0.12200728014117616</v>
      </c>
      <c r="L11" s="14">
        <v>-2.2110228036784307E-2</v>
      </c>
      <c r="M11" s="14">
        <v>3.8784854103968897E-2</v>
      </c>
      <c r="N11" s="14">
        <v>0.18513323983169702</v>
      </c>
      <c r="O11" s="57">
        <v>-0.57007377100128742</v>
      </c>
      <c r="P11" s="14">
        <v>2.0180066554258191E-2</v>
      </c>
      <c r="Q11" s="14">
        <v>3.7119927171615205E-2</v>
      </c>
      <c r="R11" s="14">
        <v>4.578417577659924E-2</v>
      </c>
      <c r="S11" s="57">
        <v>0.54364510094431018</v>
      </c>
      <c r="T11" s="14">
        <v>1.682548946861484E-2</v>
      </c>
      <c r="U11" s="14">
        <v>3.1458976658082359E-2</v>
      </c>
      <c r="V11" s="14">
        <v>1.8206550172648269E-2</v>
      </c>
      <c r="W11" s="57">
        <v>0.53483905886341276</v>
      </c>
      <c r="X11" s="31">
        <v>44196</v>
      </c>
      <c r="Y11" s="33">
        <v>8</v>
      </c>
      <c r="Z11" s="48" t="s">
        <v>113</v>
      </c>
      <c r="AA11" s="48" t="s">
        <v>112</v>
      </c>
      <c r="AB11" s="48" t="s">
        <v>114</v>
      </c>
      <c r="AC11" s="48" t="s">
        <v>114</v>
      </c>
      <c r="AD11" s="48" t="s">
        <v>112</v>
      </c>
      <c r="AE11" s="49" t="s">
        <v>33</v>
      </c>
    </row>
    <row r="12" spans="1:31" s="12" customFormat="1" ht="21.75" customHeight="1" x14ac:dyDescent="0.35">
      <c r="A12" s="12" t="s">
        <v>70</v>
      </c>
      <c r="B12" s="13" t="s">
        <v>124</v>
      </c>
      <c r="C12" s="14" t="s">
        <v>112</v>
      </c>
      <c r="D12" s="14" t="s">
        <v>112</v>
      </c>
      <c r="E12" s="14" t="s">
        <v>112</v>
      </c>
      <c r="F12" s="14" t="s">
        <v>112</v>
      </c>
      <c r="G12" s="57" t="s">
        <v>112</v>
      </c>
      <c r="H12" s="14">
        <v>2.0935638915394295E-2</v>
      </c>
      <c r="I12" s="14">
        <v>3.0987658797139668E-2</v>
      </c>
      <c r="J12" s="14">
        <v>0.10411778982282993</v>
      </c>
      <c r="K12" s="57">
        <v>0.67561215425951349</v>
      </c>
      <c r="L12" s="14">
        <v>1.7223793176351032E-2</v>
      </c>
      <c r="M12" s="14">
        <v>3.244581173701061E-2</v>
      </c>
      <c r="N12" s="14">
        <v>0.10411778982282993</v>
      </c>
      <c r="O12" s="57">
        <v>0.53084796632484998</v>
      </c>
      <c r="P12" s="14">
        <v>5.2709851129272955E-2</v>
      </c>
      <c r="Q12" s="14">
        <v>2.9320102461527092E-2</v>
      </c>
      <c r="R12" s="14">
        <v>3.831975996570932E-2</v>
      </c>
      <c r="S12" s="57">
        <v>1.7977376169962964</v>
      </c>
      <c r="T12" s="14">
        <v>3.8075560560473232E-2</v>
      </c>
      <c r="U12" s="14">
        <v>2.3245895493717649E-2</v>
      </c>
      <c r="V12" s="14">
        <v>1.6029593094944526E-2</v>
      </c>
      <c r="W12" s="57">
        <v>1.6379476785810809</v>
      </c>
      <c r="X12" s="31">
        <v>44196</v>
      </c>
      <c r="Y12" s="33">
        <v>6</v>
      </c>
      <c r="Z12" s="48" t="s">
        <v>114</v>
      </c>
      <c r="AA12" s="48" t="s">
        <v>112</v>
      </c>
      <c r="AB12" s="48" t="s">
        <v>114</v>
      </c>
      <c r="AC12" s="48" t="s">
        <v>114</v>
      </c>
      <c r="AD12" s="48" t="s">
        <v>112</v>
      </c>
      <c r="AE12" s="49" t="s">
        <v>33</v>
      </c>
    </row>
    <row r="13" spans="1:31" s="12" customFormat="1" ht="21.75" customHeight="1" x14ac:dyDescent="0.35">
      <c r="A13" s="12" t="s">
        <v>58</v>
      </c>
      <c r="B13" s="13" t="s">
        <v>111</v>
      </c>
      <c r="C13" s="14" t="s">
        <v>112</v>
      </c>
      <c r="D13" s="14" t="s">
        <v>112</v>
      </c>
      <c r="E13" s="14" t="s">
        <v>112</v>
      </c>
      <c r="F13" s="14" t="s">
        <v>112</v>
      </c>
      <c r="G13" s="57" t="s">
        <v>112</v>
      </c>
      <c r="H13" s="14">
        <v>4.6344342793669169E-2</v>
      </c>
      <c r="I13" s="14">
        <v>5.470403231318887E-2</v>
      </c>
      <c r="J13" s="14">
        <v>0.11390099142888328</v>
      </c>
      <c r="K13" s="57">
        <v>0.84718330320406343</v>
      </c>
      <c r="L13" s="14">
        <v>3.9535093721879466E-2</v>
      </c>
      <c r="M13" s="14">
        <v>5.6645982335096823E-2</v>
      </c>
      <c r="N13" s="14">
        <v>0.10814770814770823</v>
      </c>
      <c r="O13" s="57">
        <v>0.69793288230053763</v>
      </c>
      <c r="P13" s="14">
        <v>3.8569368795660086E-2</v>
      </c>
      <c r="Q13" s="14">
        <v>5.4284443386352292E-2</v>
      </c>
      <c r="R13" s="14">
        <v>0.10814770814770823</v>
      </c>
      <c r="S13" s="57">
        <v>0.71050500640035763</v>
      </c>
      <c r="T13" s="14">
        <v>6.6097755750336162E-2</v>
      </c>
      <c r="U13" s="14">
        <v>4.5868873520944979E-2</v>
      </c>
      <c r="V13" s="14">
        <v>4.4616662772282371E-2</v>
      </c>
      <c r="W13" s="57">
        <v>1.441015457250201</v>
      </c>
      <c r="X13" s="31">
        <v>44196</v>
      </c>
      <c r="Y13" s="33">
        <v>8</v>
      </c>
      <c r="Z13" s="48" t="s">
        <v>114</v>
      </c>
      <c r="AA13" s="48" t="s">
        <v>112</v>
      </c>
      <c r="AB13" s="48" t="s">
        <v>114</v>
      </c>
      <c r="AC13" s="48" t="s">
        <v>114</v>
      </c>
      <c r="AD13" s="48" t="s">
        <v>112</v>
      </c>
      <c r="AE13" s="49" t="s">
        <v>33</v>
      </c>
    </row>
    <row r="14" spans="1:31" s="12" customFormat="1" ht="21.75" customHeight="1" x14ac:dyDescent="0.35">
      <c r="A14" s="12" t="s">
        <v>59</v>
      </c>
      <c r="B14" s="13" t="s">
        <v>96</v>
      </c>
      <c r="C14" s="14" t="s">
        <v>112</v>
      </c>
      <c r="D14" s="14" t="s">
        <v>112</v>
      </c>
      <c r="E14" s="14" t="s">
        <v>112</v>
      </c>
      <c r="F14" s="14" t="s">
        <v>112</v>
      </c>
      <c r="G14" s="57" t="s">
        <v>112</v>
      </c>
      <c r="H14" s="14">
        <v>4.2471168043529683E-3</v>
      </c>
      <c r="I14" s="14">
        <v>2.3640688857161696E-2</v>
      </c>
      <c r="J14" s="14">
        <v>0.13770088697637661</v>
      </c>
      <c r="K14" s="57">
        <v>0.17965283626100215</v>
      </c>
      <c r="L14" s="14">
        <v>-5.1353730993777269E-3</v>
      </c>
      <c r="M14" s="14">
        <v>2.3970571945013529E-2</v>
      </c>
      <c r="N14" s="14">
        <v>0.13770088697637661</v>
      </c>
      <c r="O14" s="57">
        <v>-0.21423656937172128</v>
      </c>
      <c r="P14" s="14">
        <v>2.7213966757763997E-2</v>
      </c>
      <c r="Q14" s="14">
        <v>2.317714832396138E-2</v>
      </c>
      <c r="R14" s="14">
        <v>4.5865319210961021E-2</v>
      </c>
      <c r="S14" s="57">
        <v>1.1741723518949572</v>
      </c>
      <c r="T14" s="14">
        <v>5.0153601768175404E-2</v>
      </c>
      <c r="U14" s="14">
        <v>2.2598412223601545E-2</v>
      </c>
      <c r="V14" s="14">
        <v>1.3365509560051957E-2</v>
      </c>
      <c r="W14" s="57">
        <v>2.2193418401225333</v>
      </c>
      <c r="X14" s="31" t="s">
        <v>112</v>
      </c>
      <c r="Y14" s="33">
        <v>8</v>
      </c>
      <c r="Z14" s="48" t="s">
        <v>114</v>
      </c>
      <c r="AA14" s="48" t="s">
        <v>114</v>
      </c>
      <c r="AB14" s="48" t="s">
        <v>114</v>
      </c>
      <c r="AC14" s="48" t="s">
        <v>114</v>
      </c>
      <c r="AD14" s="48" t="s">
        <v>114</v>
      </c>
      <c r="AE14" s="49" t="s">
        <v>33</v>
      </c>
    </row>
    <row r="15" spans="1:31" s="12" customFormat="1" ht="21.75" customHeight="1" x14ac:dyDescent="0.35">
      <c r="A15" s="12" t="s">
        <v>42</v>
      </c>
      <c r="B15" s="13" t="s">
        <v>225</v>
      </c>
      <c r="C15" s="14" t="s">
        <v>112</v>
      </c>
      <c r="D15" s="14" t="s">
        <v>112</v>
      </c>
      <c r="E15" s="14" t="s">
        <v>112</v>
      </c>
      <c r="F15" s="14" t="s">
        <v>112</v>
      </c>
      <c r="G15" s="57" t="s">
        <v>112</v>
      </c>
      <c r="H15" s="14" t="s">
        <v>112</v>
      </c>
      <c r="I15" s="14" t="s">
        <v>112</v>
      </c>
      <c r="J15" s="14" t="s">
        <v>112</v>
      </c>
      <c r="K15" s="57" t="s">
        <v>112</v>
      </c>
      <c r="L15" s="14">
        <v>8.7046562820010109E-3</v>
      </c>
      <c r="M15" s="14">
        <v>5.1664308454655215E-2</v>
      </c>
      <c r="N15" s="14">
        <v>0.19079636744673414</v>
      </c>
      <c r="O15" s="57">
        <v>0.1684849084865023</v>
      </c>
      <c r="P15" s="14">
        <v>6.0702692210183873E-2</v>
      </c>
      <c r="Q15" s="14">
        <v>5.1660726971734905E-2</v>
      </c>
      <c r="R15" s="14">
        <v>5.6918452438669546E-2</v>
      </c>
      <c r="S15" s="57">
        <v>1.1750259001077568</v>
      </c>
      <c r="T15" s="14">
        <v>7.4827942496197508E-2</v>
      </c>
      <c r="U15" s="14">
        <v>3.9264072055740271E-2</v>
      </c>
      <c r="V15" s="14">
        <v>2.6276209855790489E-2</v>
      </c>
      <c r="W15" s="57">
        <v>1.9057611342493939</v>
      </c>
      <c r="X15" s="31" t="s">
        <v>112</v>
      </c>
      <c r="Y15" s="33">
        <v>8</v>
      </c>
      <c r="Z15" s="48" t="s">
        <v>114</v>
      </c>
      <c r="AA15" s="48" t="s">
        <v>114</v>
      </c>
      <c r="AB15" s="48" t="s">
        <v>114</v>
      </c>
      <c r="AC15" s="48" t="s">
        <v>114</v>
      </c>
      <c r="AD15" s="48" t="s">
        <v>114</v>
      </c>
      <c r="AE15" s="49" t="s">
        <v>33</v>
      </c>
    </row>
    <row r="16" spans="1:31" s="12" customFormat="1" ht="21.75" customHeight="1" x14ac:dyDescent="0.35">
      <c r="A16" s="12" t="s">
        <v>157</v>
      </c>
      <c r="B16" s="13" t="s">
        <v>226</v>
      </c>
      <c r="C16" s="14">
        <v>3.2474101934864441E-2</v>
      </c>
      <c r="D16" s="14">
        <v>0.77764077179167312</v>
      </c>
      <c r="E16" s="14">
        <v>5.167109415664474E-2</v>
      </c>
      <c r="F16" s="14">
        <v>0.17909002904162402</v>
      </c>
      <c r="G16" s="57">
        <v>0.6284771488758647</v>
      </c>
      <c r="H16" s="14">
        <v>9.9318023717187565E-3</v>
      </c>
      <c r="I16" s="14">
        <v>4.6460520661085115E-2</v>
      </c>
      <c r="J16" s="14">
        <v>0.17909002904162402</v>
      </c>
      <c r="K16" s="57">
        <v>0.21376864121192551</v>
      </c>
      <c r="L16" s="14">
        <v>-1.771209685398234E-3</v>
      </c>
      <c r="M16" s="14">
        <v>4.904088027908339E-2</v>
      </c>
      <c r="N16" s="14">
        <v>0.17909002904162402</v>
      </c>
      <c r="O16" s="57">
        <v>-3.6117004330235875E-2</v>
      </c>
      <c r="P16" s="14">
        <v>5.1732905536282958E-2</v>
      </c>
      <c r="Q16" s="14">
        <v>4.8995357715513485E-2</v>
      </c>
      <c r="R16" s="14">
        <v>3.3039647577092379E-2</v>
      </c>
      <c r="S16" s="57">
        <v>1.0558736163671825</v>
      </c>
      <c r="T16" s="14">
        <v>3.3765828340850179E-2</v>
      </c>
      <c r="U16" s="14">
        <v>3.6483000410678507E-2</v>
      </c>
      <c r="V16" s="14">
        <v>2.8311425682507513E-2</v>
      </c>
      <c r="W16" s="57">
        <v>0.92552224216095402</v>
      </c>
      <c r="X16" s="31">
        <v>44926</v>
      </c>
      <c r="Y16" s="33">
        <v>8</v>
      </c>
      <c r="Z16" s="33" t="s">
        <v>114</v>
      </c>
      <c r="AA16" s="33" t="s">
        <v>114</v>
      </c>
      <c r="AB16" s="33" t="s">
        <v>114</v>
      </c>
      <c r="AC16" s="33" t="s">
        <v>114</v>
      </c>
      <c r="AD16" s="33" t="s">
        <v>114</v>
      </c>
      <c r="AE16" s="12" t="s">
        <v>54</v>
      </c>
    </row>
    <row r="17" spans="1:31" s="12" customFormat="1" ht="21.75" customHeight="1" x14ac:dyDescent="0.35">
      <c r="A17" s="12" t="s">
        <v>60</v>
      </c>
      <c r="B17" s="13" t="s">
        <v>97</v>
      </c>
      <c r="C17" s="14" t="s">
        <v>112</v>
      </c>
      <c r="D17" s="14" t="s">
        <v>112</v>
      </c>
      <c r="E17" s="14" t="s">
        <v>112</v>
      </c>
      <c r="F17" s="14" t="s">
        <v>112</v>
      </c>
      <c r="G17" s="57" t="s">
        <v>112</v>
      </c>
      <c r="H17" s="14">
        <v>1.1222865670972304E-3</v>
      </c>
      <c r="I17" s="14">
        <v>3.6904207679842566E-2</v>
      </c>
      <c r="J17" s="14">
        <v>0.19688670571104536</v>
      </c>
      <c r="K17" s="57">
        <v>3.0410802389621121E-2</v>
      </c>
      <c r="L17" s="14">
        <v>-2.1744145696165451E-2</v>
      </c>
      <c r="M17" s="14">
        <v>4.4517210207607981E-2</v>
      </c>
      <c r="N17" s="14">
        <v>0.19685940862571399</v>
      </c>
      <c r="O17" s="57">
        <v>-0.48844358383556979</v>
      </c>
      <c r="P17" s="14">
        <v>2.7728436084906605E-2</v>
      </c>
      <c r="Q17" s="14">
        <v>4.2112996681584122E-2</v>
      </c>
      <c r="R17" s="14">
        <v>5.9116681493776281E-2</v>
      </c>
      <c r="S17" s="57">
        <v>0.658429422502535</v>
      </c>
      <c r="T17" s="14">
        <v>2.8447411344919349E-2</v>
      </c>
      <c r="U17" s="14">
        <v>3.022639826938308E-2</v>
      </c>
      <c r="V17" s="14">
        <v>1.5909863268152413E-2</v>
      </c>
      <c r="W17" s="57">
        <v>0.9411445945822231</v>
      </c>
      <c r="X17" s="31">
        <v>44196</v>
      </c>
      <c r="Y17" s="33">
        <v>6</v>
      </c>
      <c r="Z17" s="48" t="s">
        <v>114</v>
      </c>
      <c r="AA17" s="48" t="s">
        <v>112</v>
      </c>
      <c r="AB17" s="48" t="s">
        <v>114</v>
      </c>
      <c r="AC17" s="48" t="s">
        <v>114</v>
      </c>
      <c r="AD17" s="48" t="s">
        <v>112</v>
      </c>
      <c r="AE17" s="49" t="s">
        <v>33</v>
      </c>
    </row>
    <row r="18" spans="1:31" s="8" customFormat="1" ht="21.75" customHeight="1" x14ac:dyDescent="0.35">
      <c r="A18" s="12"/>
      <c r="B18" s="13"/>
      <c r="C18" s="14"/>
      <c r="D18" s="14"/>
      <c r="E18" s="14"/>
      <c r="F18" s="14"/>
      <c r="G18" s="25"/>
      <c r="H18" s="14"/>
      <c r="I18" s="14"/>
      <c r="J18" s="14"/>
      <c r="K18" s="25"/>
      <c r="L18" s="14"/>
      <c r="M18" s="14"/>
      <c r="N18" s="14"/>
      <c r="O18" s="25"/>
      <c r="P18" s="14"/>
      <c r="Q18" s="14"/>
      <c r="R18" s="14"/>
      <c r="S18" s="25"/>
      <c r="T18" s="14"/>
      <c r="U18" s="14"/>
      <c r="V18" s="14"/>
      <c r="W18" s="23"/>
      <c r="X18" s="16"/>
      <c r="Y18" s="15"/>
      <c r="Z18" s="28"/>
      <c r="AA18" s="15"/>
      <c r="AB18" s="15"/>
      <c r="AC18" s="15"/>
      <c r="AD18" s="15"/>
    </row>
    <row r="19" spans="1:31" s="8" customFormat="1" ht="21.75" customHeight="1" x14ac:dyDescent="0.35">
      <c r="A19" s="36" t="s">
        <v>2</v>
      </c>
      <c r="B19" s="36" t="s">
        <v>3</v>
      </c>
      <c r="C19" s="37">
        <f>AVERAGE(Table103[Performance annualisée depuis 01/08])</f>
        <v>2.9722276396636865E-2</v>
      </c>
      <c r="D19" s="37">
        <f>AVERAGE(Table103[Perf. Totale depuis 01/08])</f>
        <v>0.70477280533324105</v>
      </c>
      <c r="E19" s="37">
        <f>AVERAGE(Table103[Volatilité annualisée depuis 01/08])</f>
        <v>4.3450333688733155E-2</v>
      </c>
      <c r="F19" s="37">
        <f>AVERAGE(Table103[Max Drawdown depuis 01/08])</f>
        <v>0.19074271668349896</v>
      </c>
      <c r="G19" s="42">
        <f>AVERAGE(Table103[Couple Rendement / Risque depuis 01/08])</f>
        <v>0.70352171337815939</v>
      </c>
      <c r="H19" s="37">
        <f>AVERAGE(Table103[Performance annualisée 10 ans])</f>
        <v>1.480758565503835E-2</v>
      </c>
      <c r="I19" s="37">
        <f>AVERAGE(Table103[Volatilité annualisée 10 ans])</f>
        <v>3.330439674355673E-2</v>
      </c>
      <c r="J19" s="37">
        <f>AVERAGE(Table103[Max Drawdown 10 ans])</f>
        <v>0.14966508765640046</v>
      </c>
      <c r="K19" s="42">
        <f>AVERAGE(Table103[Couple Rendement Risque 10 ans])</f>
        <v>0.45426219062368517</v>
      </c>
      <c r="L19" s="37">
        <f>AVERAGE(Table103[Performance annualisée 5 ans])</f>
        <v>7.5569359048908314E-3</v>
      </c>
      <c r="M19" s="37">
        <f>AVERAGE(Table103[Volatilité annualisée 5 ans])</f>
        <v>3.6301748250993866E-2</v>
      </c>
      <c r="N19" s="37">
        <f>AVERAGE(Table103[Max Drawdown 5 ans])</f>
        <v>0.14089302215291816</v>
      </c>
      <c r="O19" s="42">
        <f>AVERAGE(Table103[Couple Rendement Risque 5 ans])</f>
        <v>0.30973098121097892</v>
      </c>
      <c r="P19" s="37">
        <f>AVERAGE(Table103[Performance annualisée 3 ans])</f>
        <v>4.201084673586334E-2</v>
      </c>
      <c r="Q19" s="37">
        <f>AVERAGE(Table103[Volatilité annualisée 3 ans])</f>
        <v>3.4677271090399316E-2</v>
      </c>
      <c r="R19" s="37">
        <f>AVERAGE(Table103[Max Drawdown 3 ans])</f>
        <v>4.8423817555928346E-2</v>
      </c>
      <c r="S19" s="42">
        <f>AVERAGE(Table103[Couple Rendement Risque 3 ans])</f>
        <v>1.476050872500632</v>
      </c>
      <c r="T19" s="37">
        <f>AVERAGE(Table103[Performance annualisée 1 an])</f>
        <v>4.0563553571610664E-2</v>
      </c>
      <c r="U19" s="37">
        <f>AVERAGE(Table103[Volatilité annualisée 1 an])</f>
        <v>2.6896136596333709E-2</v>
      </c>
      <c r="V19" s="37">
        <f>AVERAGE(Table103[Max Drawdown 1 an])</f>
        <v>2.1092551439905387E-2</v>
      </c>
      <c r="W19" s="42">
        <f>AVERAGE(Table103[Couple Rendement Risque 1 an])</f>
        <v>1.8408024380675658</v>
      </c>
      <c r="X19" s="38"/>
      <c r="Y19" s="37"/>
      <c r="Z19" s="37"/>
      <c r="AA19" s="37"/>
      <c r="AB19" s="37"/>
      <c r="AC19" s="37"/>
      <c r="AD19" s="37"/>
      <c r="AE19" s="37"/>
    </row>
    <row r="20" spans="1:31" s="8" customFormat="1" ht="21.75" customHeight="1" x14ac:dyDescent="0.35">
      <c r="A20" s="7"/>
      <c r="B20" s="2"/>
      <c r="C20" s="2"/>
      <c r="D20" s="2"/>
      <c r="E20" s="5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1" s="8" customFormat="1" ht="21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1" s="8" customFormat="1" ht="21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1" s="8" customFormat="1" ht="21.7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1" s="8" customFormat="1" ht="21.7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6"/>
      <c r="AD24" s="2"/>
    </row>
    <row r="25" spans="1:31" ht="21.75" customHeight="1" x14ac:dyDescent="0.35">
      <c r="E25" s="2"/>
      <c r="F25" s="2"/>
    </row>
    <row r="26" spans="1:31" s="8" customFormat="1" ht="21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1" s="8" customFormat="1" ht="21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1" s="1" customFormat="1" ht="21.7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1" ht="21.75" customHeight="1" x14ac:dyDescent="0.35">
      <c r="E29" s="2"/>
      <c r="F29" s="2"/>
    </row>
    <row r="30" spans="1:31" ht="21.75" customHeight="1" x14ac:dyDescent="0.35">
      <c r="E30" s="2"/>
      <c r="F30" s="2"/>
    </row>
    <row r="31" spans="1:31" ht="21.75" customHeight="1" x14ac:dyDescent="0.35">
      <c r="E31" s="2"/>
      <c r="F31" s="2"/>
    </row>
    <row r="32" spans="1:31" ht="21.75" customHeight="1" x14ac:dyDescent="0.35">
      <c r="E32" s="2"/>
      <c r="F32" s="2"/>
    </row>
    <row r="33" s="2" customFormat="1" ht="21.75" customHeigh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</sheetData>
  <sheetProtection selectLockedCells="1"/>
  <phoneticPr fontId="23" type="noConversion"/>
  <conditionalFormatting sqref="C4:C18">
    <cfRule type="iconSet" priority="490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8">
    <cfRule type="iconSet" priority="490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8">
    <cfRule type="iconSet" priority="490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8">
    <cfRule type="iconSet" priority="491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7">
    <cfRule type="iconSet" priority="491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8">
    <cfRule type="iconSet" priority="345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7:X27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8">
    <cfRule type="iconSet" priority="491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8">
    <cfRule type="iconSet" priority="49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8">
    <cfRule type="iconSet" priority="491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7">
    <cfRule type="iconSet" priority="492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8">
    <cfRule type="iconSet" priority="346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8">
    <cfRule type="iconSet" priority="492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8">
    <cfRule type="iconSet" priority="492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8">
    <cfRule type="iconSet" priority="492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7">
    <cfRule type="iconSet" priority="492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18">
    <cfRule type="iconSet" priority="347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8">
    <cfRule type="iconSet" priority="493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8">
    <cfRule type="iconSet" priority="493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8">
    <cfRule type="iconSet" priority="493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7">
    <cfRule type="iconSet" priority="493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18">
    <cfRule type="iconSet" priority="348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8">
    <cfRule type="iconSet" priority="493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8">
    <cfRule type="iconSet" priority="494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8">
    <cfRule type="iconSet" priority="494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7">
    <cfRule type="iconSet" priority="494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18">
    <cfRule type="iconSet" priority="349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8AD6-F3A5-489D-8FF3-38210A67BD52}">
  <sheetPr>
    <tabColor rgb="FF008000"/>
    <pageSetUpPr fitToPage="1"/>
  </sheetPr>
  <dimension ref="A1:AE43"/>
  <sheetViews>
    <sheetView showGridLines="0" zoomScale="70" zoomScaleNormal="70" workbookViewId="0">
      <pane xSplit="1" topLeftCell="B1" activePane="topRight" state="frozenSplit"/>
      <selection pane="topRight" activeCell="B1" sqref="B1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152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47</v>
      </c>
      <c r="B4" s="13" t="s">
        <v>162</v>
      </c>
      <c r="C4" s="21" t="s">
        <v>112</v>
      </c>
      <c r="D4" s="21" t="s">
        <v>112</v>
      </c>
      <c r="E4" s="21" t="s">
        <v>112</v>
      </c>
      <c r="F4" s="21" t="s">
        <v>112</v>
      </c>
      <c r="G4" s="41" t="s">
        <v>112</v>
      </c>
      <c r="H4" s="21">
        <v>1.7200952134731606E-2</v>
      </c>
      <c r="I4" s="43">
        <v>3.9364464388310351E-2</v>
      </c>
      <c r="J4" s="21">
        <v>0.15177196464822185</v>
      </c>
      <c r="K4" s="41">
        <v>0.43696649762722523</v>
      </c>
      <c r="L4" s="21">
        <v>1.8535754650577108E-3</v>
      </c>
      <c r="M4" s="21">
        <v>3.9800542433517626E-2</v>
      </c>
      <c r="N4" s="21">
        <v>0.15177196464822185</v>
      </c>
      <c r="O4" s="41">
        <v>4.6571613142054588E-2</v>
      </c>
      <c r="P4" s="21">
        <v>4.6888689756030777E-2</v>
      </c>
      <c r="Q4" s="21">
        <v>3.9644234285502539E-2</v>
      </c>
      <c r="R4" s="21">
        <v>5.1391576775057735E-2</v>
      </c>
      <c r="S4" s="41">
        <v>1.1827366728376301</v>
      </c>
      <c r="T4" s="21">
        <v>3.2717667272331052E-2</v>
      </c>
      <c r="U4" s="21">
        <v>4.0001671647440375E-2</v>
      </c>
      <c r="V4" s="21">
        <v>4.2672218891592333E-2</v>
      </c>
      <c r="W4" s="41">
        <v>0.81790750048378513</v>
      </c>
      <c r="X4" s="31" t="s">
        <v>112</v>
      </c>
      <c r="Y4" s="33" t="s">
        <v>112</v>
      </c>
      <c r="Z4" s="48" t="s">
        <v>112</v>
      </c>
      <c r="AA4" s="48" t="s">
        <v>112</v>
      </c>
      <c r="AB4" s="48" t="s">
        <v>112</v>
      </c>
      <c r="AC4" s="48" t="s">
        <v>112</v>
      </c>
      <c r="AD4" s="50" t="s">
        <v>112</v>
      </c>
      <c r="AE4" s="50" t="s">
        <v>112</v>
      </c>
    </row>
    <row r="5" spans="1:31" s="8" customFormat="1" ht="21.75" customHeight="1" x14ac:dyDescent="0.35">
      <c r="A5" s="12" t="s">
        <v>27</v>
      </c>
      <c r="B5" s="13" t="s">
        <v>227</v>
      </c>
      <c r="C5" s="21" t="s">
        <v>112</v>
      </c>
      <c r="D5" s="21" t="s">
        <v>112</v>
      </c>
      <c r="E5" s="21" t="s">
        <v>112</v>
      </c>
      <c r="F5" s="21" t="s">
        <v>112</v>
      </c>
      <c r="G5" s="41" t="s">
        <v>112</v>
      </c>
      <c r="H5" s="21" t="s">
        <v>112</v>
      </c>
      <c r="I5" s="43" t="s">
        <v>112</v>
      </c>
      <c r="J5" s="21" t="s">
        <v>112</v>
      </c>
      <c r="K5" s="41" t="s">
        <v>112</v>
      </c>
      <c r="L5" s="21">
        <v>1.0276946499805151E-2</v>
      </c>
      <c r="M5" s="21">
        <v>1.5918519616414873E-2</v>
      </c>
      <c r="N5" s="21">
        <v>8.2036505900278223E-2</v>
      </c>
      <c r="O5" s="41">
        <v>0.64559687379520891</v>
      </c>
      <c r="P5" s="21">
        <v>3.8979989152669869E-2</v>
      </c>
      <c r="Q5" s="21">
        <v>1.5246294841988249E-2</v>
      </c>
      <c r="R5" s="21">
        <v>1.8117613823626443E-2</v>
      </c>
      <c r="S5" s="41">
        <v>2.5566860379296288</v>
      </c>
      <c r="T5" s="21">
        <v>3.3280405396077795E-2</v>
      </c>
      <c r="U5" s="21">
        <v>1.5221230005575388E-2</v>
      </c>
      <c r="V5" s="21">
        <v>1.8117613823626443E-2</v>
      </c>
      <c r="W5" s="41">
        <v>2.1864465213315549</v>
      </c>
      <c r="X5" s="31" t="s">
        <v>112</v>
      </c>
      <c r="Y5" s="33">
        <v>8</v>
      </c>
      <c r="Z5" s="48" t="s">
        <v>32</v>
      </c>
      <c r="AA5" s="48" t="s">
        <v>32</v>
      </c>
      <c r="AB5" s="48" t="s">
        <v>32</v>
      </c>
      <c r="AC5" s="48" t="s">
        <v>32</v>
      </c>
      <c r="AD5" s="50" t="s">
        <v>32</v>
      </c>
      <c r="AE5" s="50" t="s">
        <v>31</v>
      </c>
    </row>
    <row r="6" spans="1:31" s="8" customFormat="1" ht="21.75" customHeight="1" x14ac:dyDescent="0.35">
      <c r="A6" s="12" t="s">
        <v>265</v>
      </c>
      <c r="B6" s="13" t="s">
        <v>267</v>
      </c>
      <c r="C6" s="14"/>
      <c r="D6" s="14"/>
      <c r="E6" s="14"/>
      <c r="F6" s="14"/>
      <c r="G6" s="44"/>
      <c r="H6" s="40">
        <v>3.060048235589008E-2</v>
      </c>
      <c r="I6" s="59">
        <v>5.111454017549364E-2</v>
      </c>
      <c r="J6" s="40">
        <v>0.141769260058383</v>
      </c>
      <c r="K6" s="44">
        <v>0.59866492490841539</v>
      </c>
      <c r="L6" s="14">
        <v>2.8099268072014016E-2</v>
      </c>
      <c r="M6" s="14">
        <v>5.1709750422659823E-2</v>
      </c>
      <c r="N6" s="14">
        <v>0.141769260058383</v>
      </c>
      <c r="O6" s="44">
        <v>0.54340366840565113</v>
      </c>
      <c r="P6" s="14">
        <v>7.3574895242268568E-2</v>
      </c>
      <c r="Q6" s="14">
        <v>5.0881929500120902E-2</v>
      </c>
      <c r="R6" s="14">
        <v>7.2097267749639038E-2</v>
      </c>
      <c r="S6" s="44">
        <v>1.4459926336341813</v>
      </c>
      <c r="T6" s="14">
        <v>6.8223840912114531E-2</v>
      </c>
      <c r="U6" s="14">
        <v>5.4853126497526786E-2</v>
      </c>
      <c r="V6" s="14">
        <v>7.2097267749639038E-2</v>
      </c>
      <c r="W6" s="44">
        <v>1.2437548279985573</v>
      </c>
      <c r="X6" s="31">
        <v>46022</v>
      </c>
      <c r="Y6" s="33">
        <v>8</v>
      </c>
      <c r="Z6" s="33" t="s">
        <v>32</v>
      </c>
      <c r="AA6" s="33" t="s">
        <v>32</v>
      </c>
      <c r="AB6" s="33" t="s">
        <v>32</v>
      </c>
      <c r="AC6" s="33" t="s">
        <v>32</v>
      </c>
      <c r="AD6" s="47" t="s">
        <v>32</v>
      </c>
      <c r="AE6" s="50" t="s">
        <v>33</v>
      </c>
    </row>
    <row r="7" spans="1:31" s="8" customFormat="1" ht="21.75" customHeight="1" x14ac:dyDescent="0.35">
      <c r="A7" s="12" t="s">
        <v>34</v>
      </c>
      <c r="B7" s="13" t="s">
        <v>163</v>
      </c>
      <c r="C7" s="21">
        <v>3.9323223358420867E-2</v>
      </c>
      <c r="D7" s="21">
        <v>1.0023237499999467</v>
      </c>
      <c r="E7" s="21">
        <v>7.454227569055738E-2</v>
      </c>
      <c r="F7" s="21">
        <v>0.18964037756455121</v>
      </c>
      <c r="G7" s="41">
        <v>0.52752915032619707</v>
      </c>
      <c r="H7" s="21">
        <v>2.8898750728703293E-2</v>
      </c>
      <c r="I7" s="43">
        <v>6.3912886441989433E-2</v>
      </c>
      <c r="J7" s="21">
        <v>0.17415362213323562</v>
      </c>
      <c r="K7" s="41">
        <v>0.45215843529353444</v>
      </c>
      <c r="L7" s="21">
        <v>2.4013464567563814E-2</v>
      </c>
      <c r="M7" s="21">
        <v>6.2117420724535362E-2</v>
      </c>
      <c r="N7" s="21">
        <v>0.17415362213323562</v>
      </c>
      <c r="O7" s="41">
        <v>0.38658180406513387</v>
      </c>
      <c r="P7" s="21">
        <v>7.3752073601987211E-2</v>
      </c>
      <c r="Q7" s="21">
        <v>5.7575387295566167E-2</v>
      </c>
      <c r="R7" s="21">
        <v>6.1139230336628658E-2</v>
      </c>
      <c r="S7" s="41">
        <v>1.2809653059453547</v>
      </c>
      <c r="T7" s="21">
        <v>0.12095264444918885</v>
      </c>
      <c r="U7" s="21">
        <v>5.0367790149857941E-2</v>
      </c>
      <c r="V7" s="21">
        <v>5.1381973010033631E-2</v>
      </c>
      <c r="W7" s="41">
        <v>2.4013887464453312</v>
      </c>
      <c r="X7" s="31">
        <v>45838</v>
      </c>
      <c r="Y7" s="33">
        <v>8</v>
      </c>
      <c r="Z7" s="48" t="s">
        <v>32</v>
      </c>
      <c r="AA7" s="48" t="s">
        <v>32</v>
      </c>
      <c r="AB7" s="48" t="s">
        <v>32</v>
      </c>
      <c r="AC7" s="48" t="s">
        <v>32</v>
      </c>
      <c r="AD7" s="50" t="s">
        <v>32</v>
      </c>
      <c r="AE7" s="50" t="s">
        <v>33</v>
      </c>
    </row>
    <row r="8" spans="1:31" s="8" customFormat="1" ht="21.75" customHeight="1" x14ac:dyDescent="0.35">
      <c r="A8" s="12" t="s">
        <v>138</v>
      </c>
      <c r="B8" s="13" t="s">
        <v>164</v>
      </c>
      <c r="C8" s="14">
        <v>1.8475750857747553E-2</v>
      </c>
      <c r="D8" s="14">
        <v>0.39034750580510824</v>
      </c>
      <c r="E8" s="14">
        <v>4.3786389743383676E-2</v>
      </c>
      <c r="F8" s="14">
        <v>0.13821687643375299</v>
      </c>
      <c r="G8" s="44">
        <v>0.42195191167911539</v>
      </c>
      <c r="H8" s="40">
        <v>1.6961856887562243E-2</v>
      </c>
      <c r="I8" s="43">
        <v>3.8557728509955515E-2</v>
      </c>
      <c r="J8" s="40">
        <v>0.13821687643375299</v>
      </c>
      <c r="K8" s="44">
        <v>0.43990809477230308</v>
      </c>
      <c r="L8" s="14">
        <v>2.3157078993216951E-2</v>
      </c>
      <c r="M8" s="14">
        <v>3.9682093088957267E-2</v>
      </c>
      <c r="N8" s="14">
        <v>0.13821687643375299</v>
      </c>
      <c r="O8" s="44">
        <v>0.58356495816147114</v>
      </c>
      <c r="P8" s="14">
        <v>6.8894831455267758E-2</v>
      </c>
      <c r="Q8" s="14">
        <v>3.4180453326652427E-2</v>
      </c>
      <c r="R8" s="14">
        <v>3.8939463239742129E-2</v>
      </c>
      <c r="S8" s="44">
        <v>2.0156207642087232</v>
      </c>
      <c r="T8" s="14">
        <v>4.9069581840098353E-2</v>
      </c>
      <c r="U8" s="14">
        <v>3.34475292436308E-2</v>
      </c>
      <c r="V8" s="14">
        <v>3.8939463239742129E-2</v>
      </c>
      <c r="W8" s="44">
        <v>1.4670614825590551</v>
      </c>
      <c r="X8" s="31">
        <v>45838</v>
      </c>
      <c r="Y8" s="33">
        <v>8</v>
      </c>
      <c r="Z8" s="48" t="s">
        <v>32</v>
      </c>
      <c r="AA8" s="48" t="s">
        <v>32</v>
      </c>
      <c r="AB8" s="48" t="s">
        <v>32</v>
      </c>
      <c r="AC8" s="48" t="s">
        <v>32</v>
      </c>
      <c r="AD8" s="50" t="s">
        <v>32</v>
      </c>
      <c r="AE8" s="50" t="s">
        <v>31</v>
      </c>
    </row>
    <row r="9" spans="1:31" s="8" customFormat="1" ht="21.75" customHeight="1" x14ac:dyDescent="0.35">
      <c r="A9" s="12" t="s">
        <v>35</v>
      </c>
      <c r="B9" s="13" t="s">
        <v>165</v>
      </c>
      <c r="C9" s="14">
        <v>4.4343136980319775E-2</v>
      </c>
      <c r="D9" s="14">
        <v>1.1837539432176656</v>
      </c>
      <c r="E9" s="14">
        <v>4.7731632387984391E-2</v>
      </c>
      <c r="F9" s="14">
        <v>0.18748269177513166</v>
      </c>
      <c r="G9" s="44">
        <v>0.92900943801541536</v>
      </c>
      <c r="H9" s="40">
        <v>3.3361755730751508E-2</v>
      </c>
      <c r="I9" s="43">
        <v>5.2804624530683346E-2</v>
      </c>
      <c r="J9" s="40">
        <v>0.18748269177513166</v>
      </c>
      <c r="K9" s="44">
        <v>0.63179609792255775</v>
      </c>
      <c r="L9" s="14">
        <v>5.2562769898961692E-2</v>
      </c>
      <c r="M9" s="14">
        <v>4.1210055624654678E-2</v>
      </c>
      <c r="N9" s="14">
        <v>9.4324582846211077E-2</v>
      </c>
      <c r="O9" s="44">
        <v>1.2754840803348744</v>
      </c>
      <c r="P9" s="14">
        <v>7.1241199002340494E-2</v>
      </c>
      <c r="Q9" s="14">
        <v>3.2969546871044468E-2</v>
      </c>
      <c r="R9" s="14">
        <v>3.8679201159908375E-2</v>
      </c>
      <c r="S9" s="44">
        <v>2.1608182630167763</v>
      </c>
      <c r="T9" s="14">
        <v>8.4401027705818477E-2</v>
      </c>
      <c r="U9" s="14">
        <v>3.6374000499730372E-2</v>
      </c>
      <c r="V9" s="14">
        <v>3.8679201159908375E-2</v>
      </c>
      <c r="W9" s="44">
        <v>2.3203669254484152</v>
      </c>
      <c r="X9" s="31">
        <v>45859</v>
      </c>
      <c r="Y9" s="33">
        <v>8</v>
      </c>
      <c r="Z9" s="48" t="s">
        <v>32</v>
      </c>
      <c r="AA9" s="48" t="s">
        <v>32</v>
      </c>
      <c r="AB9" s="48" t="s">
        <v>32</v>
      </c>
      <c r="AC9" s="48" t="s">
        <v>32</v>
      </c>
      <c r="AD9" s="50" t="s">
        <v>32</v>
      </c>
      <c r="AE9" s="50" t="s">
        <v>33</v>
      </c>
    </row>
    <row r="10" spans="1:31" s="8" customFormat="1" ht="21.75" customHeight="1" x14ac:dyDescent="0.35">
      <c r="A10" s="12" t="s">
        <v>156</v>
      </c>
      <c r="B10" s="13" t="s">
        <v>166</v>
      </c>
      <c r="C10" s="14" t="s">
        <v>112</v>
      </c>
      <c r="D10" s="14" t="s">
        <v>112</v>
      </c>
      <c r="E10" s="14" t="s">
        <v>112</v>
      </c>
      <c r="F10" s="14" t="s">
        <v>112</v>
      </c>
      <c r="G10" s="44" t="s">
        <v>112</v>
      </c>
      <c r="H10" s="40">
        <v>1.2743881484263531E-2</v>
      </c>
      <c r="I10" s="43">
        <v>3.0383688861211577E-2</v>
      </c>
      <c r="J10" s="40">
        <v>0.14019798316217971</v>
      </c>
      <c r="K10" s="44">
        <v>0.41943167409578841</v>
      </c>
      <c r="L10" s="14">
        <v>1.8773757615583309E-2</v>
      </c>
      <c r="M10" s="14">
        <v>2.4005389304930572E-2</v>
      </c>
      <c r="N10" s="14">
        <v>9.8280719497218838E-2</v>
      </c>
      <c r="O10" s="44">
        <v>0.78206428469490741</v>
      </c>
      <c r="P10" s="14">
        <v>4.4268592785602356E-2</v>
      </c>
      <c r="Q10" s="14">
        <v>1.4739094880955067E-2</v>
      </c>
      <c r="R10" s="14">
        <v>2.1358893564029605E-2</v>
      </c>
      <c r="S10" s="44">
        <v>3.0034810918276573</v>
      </c>
      <c r="T10" s="14">
        <v>3.2539811915262201E-2</v>
      </c>
      <c r="U10" s="14">
        <v>1.159614627288522E-2</v>
      </c>
      <c r="V10" s="14">
        <v>1.1039991628442438E-2</v>
      </c>
      <c r="W10" s="44">
        <v>2.8060884322707018</v>
      </c>
      <c r="X10" s="31" t="s">
        <v>112</v>
      </c>
      <c r="Y10" s="33">
        <v>6</v>
      </c>
      <c r="Z10" s="48" t="s">
        <v>32</v>
      </c>
      <c r="AA10" s="48" t="s">
        <v>32</v>
      </c>
      <c r="AB10" s="48" t="s">
        <v>32</v>
      </c>
      <c r="AC10" s="48" t="s">
        <v>32</v>
      </c>
      <c r="AD10" s="50" t="s">
        <v>32</v>
      </c>
      <c r="AE10" s="50" t="s">
        <v>31</v>
      </c>
    </row>
    <row r="11" spans="1:31" s="8" customFormat="1" ht="21.75" customHeight="1" x14ac:dyDescent="0.35">
      <c r="A11" s="12" t="s">
        <v>57</v>
      </c>
      <c r="B11" s="13" t="s">
        <v>167</v>
      </c>
      <c r="C11" s="14" t="s">
        <v>112</v>
      </c>
      <c r="D11" s="14" t="s">
        <v>112</v>
      </c>
      <c r="E11" s="14" t="s">
        <v>112</v>
      </c>
      <c r="F11" s="14" t="s">
        <v>112</v>
      </c>
      <c r="G11" s="44" t="s">
        <v>112</v>
      </c>
      <c r="H11" s="40">
        <v>3.0013162299920459E-2</v>
      </c>
      <c r="I11" s="43">
        <v>5.2715240280352488E-2</v>
      </c>
      <c r="J11" s="40">
        <v>0.17096306036867159</v>
      </c>
      <c r="K11" s="44">
        <v>0.56934507251229727</v>
      </c>
      <c r="L11" s="14">
        <v>2.8235147056012266E-2</v>
      </c>
      <c r="M11" s="14">
        <v>4.6053667413951185E-2</v>
      </c>
      <c r="N11" s="14">
        <v>0.1391596539141885</v>
      </c>
      <c r="O11" s="44">
        <v>0.61309226043220399</v>
      </c>
      <c r="P11" s="14">
        <v>6.4571448276828258E-2</v>
      </c>
      <c r="Q11" s="14">
        <v>3.6824066569042038E-2</v>
      </c>
      <c r="R11" s="14">
        <v>4.4140701548108847E-2</v>
      </c>
      <c r="S11" s="44">
        <v>1.7535121536824894</v>
      </c>
      <c r="T11" s="14">
        <v>5.0481391483533811E-2</v>
      </c>
      <c r="U11" s="14">
        <v>4.1433120565434273E-2</v>
      </c>
      <c r="V11" s="14">
        <v>4.4140701548108847E-2</v>
      </c>
      <c r="W11" s="44">
        <v>1.2183825595228781</v>
      </c>
      <c r="X11" s="31" t="s">
        <v>112</v>
      </c>
      <c r="Y11" s="33" t="s">
        <v>112</v>
      </c>
      <c r="Z11" s="48" t="s">
        <v>112</v>
      </c>
      <c r="AA11" s="48" t="s">
        <v>112</v>
      </c>
      <c r="AB11" s="48" t="s">
        <v>112</v>
      </c>
      <c r="AC11" s="48" t="s">
        <v>112</v>
      </c>
      <c r="AD11" s="50" t="s">
        <v>112</v>
      </c>
      <c r="AE11" s="50" t="s">
        <v>112</v>
      </c>
    </row>
    <row r="12" spans="1:31" s="8" customFormat="1" ht="21.75" customHeight="1" x14ac:dyDescent="0.35">
      <c r="A12" s="12" t="s">
        <v>50</v>
      </c>
      <c r="B12" s="13" t="s">
        <v>168</v>
      </c>
      <c r="C12" s="14">
        <v>2.9904250464183102E-2</v>
      </c>
      <c r="D12" s="14">
        <v>0.69965519877675852</v>
      </c>
      <c r="E12" s="14">
        <v>3.9886487653325572E-2</v>
      </c>
      <c r="F12" s="14">
        <v>0.12503815653471206</v>
      </c>
      <c r="G12" s="44">
        <v>0.74973386285843613</v>
      </c>
      <c r="H12" s="40">
        <v>2.5973129564749842E-2</v>
      </c>
      <c r="I12" s="43">
        <v>3.9121809540895197E-2</v>
      </c>
      <c r="J12" s="40">
        <v>0.12503815653471206</v>
      </c>
      <c r="K12" s="44">
        <v>0.66390409517226834</v>
      </c>
      <c r="L12" s="14">
        <v>3.0306687775327523E-2</v>
      </c>
      <c r="M12" s="14">
        <v>3.4204663390287868E-2</v>
      </c>
      <c r="N12" s="14">
        <v>8.4993876862535664E-2</v>
      </c>
      <c r="O12" s="44">
        <v>0.8860396440542917</v>
      </c>
      <c r="P12" s="14">
        <v>5.3056328953850374E-2</v>
      </c>
      <c r="Q12" s="14">
        <v>2.9232631946499516E-2</v>
      </c>
      <c r="R12" s="14">
        <v>4.2847853338953953E-2</v>
      </c>
      <c r="S12" s="44">
        <v>1.8149692799113029</v>
      </c>
      <c r="T12" s="14">
        <v>4.3440453897600984E-2</v>
      </c>
      <c r="U12" s="14">
        <v>3.2564892704895099E-2</v>
      </c>
      <c r="V12" s="14">
        <v>4.2847853338953953E-2</v>
      </c>
      <c r="W12" s="44">
        <v>1.33396582298799</v>
      </c>
      <c r="X12" s="31">
        <v>45838</v>
      </c>
      <c r="Y12" s="33">
        <v>8</v>
      </c>
      <c r="Z12" s="48" t="s">
        <v>32</v>
      </c>
      <c r="AA12" s="48" t="s">
        <v>32</v>
      </c>
      <c r="AB12" s="48" t="s">
        <v>32</v>
      </c>
      <c r="AC12" s="48" t="s">
        <v>32</v>
      </c>
      <c r="AD12" s="50" t="s">
        <v>32</v>
      </c>
      <c r="AE12" s="50" t="s">
        <v>31</v>
      </c>
    </row>
    <row r="13" spans="1:31" s="8" customFormat="1" ht="21.75" customHeight="1" x14ac:dyDescent="0.35">
      <c r="A13" s="12" t="s">
        <v>157</v>
      </c>
      <c r="B13" s="13" t="s">
        <v>169</v>
      </c>
      <c r="C13" s="14" t="s">
        <v>112</v>
      </c>
      <c r="D13" s="14" t="s">
        <v>112</v>
      </c>
      <c r="E13" s="14" t="s">
        <v>112</v>
      </c>
      <c r="F13" s="14" t="s">
        <v>112</v>
      </c>
      <c r="G13" s="44" t="s">
        <v>112</v>
      </c>
      <c r="H13" s="40" t="s">
        <v>112</v>
      </c>
      <c r="I13" s="59" t="s">
        <v>112</v>
      </c>
      <c r="J13" s="40" t="s">
        <v>112</v>
      </c>
      <c r="K13" s="44" t="s">
        <v>112</v>
      </c>
      <c r="L13" s="14">
        <v>5.2473379659293995E-2</v>
      </c>
      <c r="M13" s="14">
        <v>3.6299999999999999E-2</v>
      </c>
      <c r="N13" s="14">
        <v>5.8400000000000001E-2</v>
      </c>
      <c r="O13" s="44">
        <v>1.45</v>
      </c>
      <c r="P13" s="14">
        <v>6.7357151913938873E-2</v>
      </c>
      <c r="Q13" s="14">
        <v>3.49E-2</v>
      </c>
      <c r="R13" s="14">
        <v>5.8400000000000001E-2</v>
      </c>
      <c r="S13" s="44">
        <v>1.93</v>
      </c>
      <c r="T13" s="14">
        <v>6.4721900848846436E-2</v>
      </c>
      <c r="U13" s="14">
        <v>3.9699999999999999E-2</v>
      </c>
      <c r="V13" s="14">
        <v>5.8400000000000001E-2</v>
      </c>
      <c r="W13" s="44">
        <v>1.63</v>
      </c>
      <c r="X13" s="31" t="s">
        <v>112</v>
      </c>
      <c r="Y13" s="33">
        <v>8</v>
      </c>
      <c r="Z13" s="33" t="s">
        <v>114</v>
      </c>
      <c r="AA13" s="33" t="s">
        <v>114</v>
      </c>
      <c r="AB13" s="33" t="s">
        <v>114</v>
      </c>
      <c r="AC13" s="33" t="s">
        <v>114</v>
      </c>
      <c r="AD13" s="47" t="s">
        <v>114</v>
      </c>
      <c r="AE13" s="47" t="s">
        <v>54</v>
      </c>
    </row>
    <row r="14" spans="1:31" s="8" customFormat="1" ht="21.75" customHeight="1" x14ac:dyDescent="0.35">
      <c r="A14" s="12"/>
      <c r="B14" s="13"/>
      <c r="C14" s="14"/>
      <c r="D14" s="14"/>
      <c r="E14" s="14"/>
      <c r="F14" s="14"/>
      <c r="G14" s="44"/>
      <c r="H14" s="40"/>
      <c r="I14" s="59"/>
      <c r="J14" s="40"/>
      <c r="K14" s="44"/>
      <c r="L14" s="14"/>
      <c r="M14" s="14"/>
      <c r="N14" s="14"/>
      <c r="O14" s="44"/>
      <c r="P14" s="14"/>
      <c r="Q14" s="14"/>
      <c r="R14" s="14"/>
      <c r="S14" s="44"/>
      <c r="T14" s="14"/>
      <c r="U14" s="14"/>
      <c r="V14" s="14"/>
      <c r="W14" s="44"/>
      <c r="X14" s="31"/>
      <c r="Y14" s="33"/>
      <c r="Z14" s="33"/>
      <c r="AA14" s="33"/>
      <c r="AB14" s="33"/>
      <c r="AC14" s="33"/>
      <c r="AD14" s="47"/>
      <c r="AE14" s="47"/>
    </row>
    <row r="15" spans="1:31" s="8" customFormat="1" ht="21.75" customHeight="1" x14ac:dyDescent="0.35">
      <c r="A15" s="36" t="s">
        <v>2</v>
      </c>
      <c r="B15" s="36" t="s">
        <v>3</v>
      </c>
      <c r="C15" s="37">
        <f>AVERAGE(Table915[Performance annualisée depuis 01/08])</f>
        <v>3.3011590415167824E-2</v>
      </c>
      <c r="D15" s="37">
        <f>AVERAGE(Table915[Perf. Totale depuis 01/08])</f>
        <v>0.81902009944986975</v>
      </c>
      <c r="E15" s="37">
        <f>AVERAGE(Table915[Volatilité annualisée depuis 01/08])</f>
        <v>5.1486696368812757E-2</v>
      </c>
      <c r="F15" s="37">
        <f>AVERAGE(Table915[Max Drawdown depuis 01/08])</f>
        <v>0.16009452557703699</v>
      </c>
      <c r="G15" s="42">
        <f>AVERAGE(Table915[Couple Rendement / Risque depuis 01/08])</f>
        <v>0.65705609071979099</v>
      </c>
      <c r="H15" s="37">
        <f>AVERAGE(Table915[Performance annualisée 10 ans])</f>
        <v>2.446924639832157E-2</v>
      </c>
      <c r="I15" s="37">
        <f>AVERAGE(Table915[Volatilité annualisée 10 ans])</f>
        <v>4.5996872841111439E-2</v>
      </c>
      <c r="J15" s="37">
        <f>AVERAGE(Table915[Max Drawdown 10 ans])</f>
        <v>0.15369920188928607</v>
      </c>
      <c r="K15" s="42">
        <f>AVERAGE(Table915[Couple Rendement Risque 10 ans])</f>
        <v>0.5265218615380487</v>
      </c>
      <c r="L15" s="37">
        <f>AVERAGE(Table915[Performance annualisée 5 ans])</f>
        <v>2.6975207560283643E-2</v>
      </c>
      <c r="M15" s="37">
        <f>AVERAGE(Table915[Volatilité annualisée 5 ans])</f>
        <v>3.9100210201990927E-2</v>
      </c>
      <c r="N15" s="37">
        <f>AVERAGE(Table915[Max Drawdown 5 ans])</f>
        <v>0.11631070622940257</v>
      </c>
      <c r="O15" s="42">
        <f>AVERAGE(Table915[Couple Rendement Risque 5 ans])</f>
        <v>0.72123991870857973</v>
      </c>
      <c r="P15" s="37">
        <f>AVERAGE(Table915[Performance annualisée 3 ans])</f>
        <v>6.0258520014078457E-2</v>
      </c>
      <c r="Q15" s="37">
        <f>AVERAGE(Table915[Volatilité annualisée 3 ans])</f>
        <v>3.4619363951737134E-2</v>
      </c>
      <c r="R15" s="37">
        <f>AVERAGE(Table915[Max Drawdown 3 ans])</f>
        <v>4.471118015356948E-2</v>
      </c>
      <c r="S15" s="42">
        <f>AVERAGE(Table915[Couple Rendement Risque 3 ans])</f>
        <v>1.9144782202993746</v>
      </c>
      <c r="T15" s="37">
        <f>AVERAGE(Table915[Performance annualisée 1 an])</f>
        <v>5.798287257208725E-2</v>
      </c>
      <c r="U15" s="37">
        <f>AVERAGE(Table915[Volatilité annualisée 1 an])</f>
        <v>3.5555950758697628E-2</v>
      </c>
      <c r="V15" s="37">
        <f>AVERAGE(Table915[Max Drawdown 1 an])</f>
        <v>4.1831628439004717E-2</v>
      </c>
      <c r="W15" s="42">
        <f>AVERAGE(Table915[Couple Rendement Risque 1 an])</f>
        <v>1.7425362819048267</v>
      </c>
      <c r="X15" s="38"/>
      <c r="Y15" s="37"/>
      <c r="Z15" s="37"/>
      <c r="AA15" s="37"/>
      <c r="AB15" s="37"/>
      <c r="AC15" s="37"/>
      <c r="AD15" s="37"/>
      <c r="AE15" s="37"/>
    </row>
    <row r="16" spans="1:31" s="8" customFormat="1" ht="21.75" customHeight="1" x14ac:dyDescent="0.35">
      <c r="A16" s="7"/>
      <c r="B16" s="2"/>
      <c r="C16" s="2"/>
      <c r="D16" s="2"/>
      <c r="E16" s="5"/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"/>
      <c r="AE16" s="1"/>
    </row>
    <row r="17" spans="1:31" s="8" customFormat="1" ht="21.75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s="8" customFormat="1" ht="21.7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1" customFormat="1" ht="21.7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1.75" customHeight="1" x14ac:dyDescent="0.35">
      <c r="E20" s="2"/>
      <c r="F20" s="2"/>
      <c r="AB20" s="6"/>
    </row>
    <row r="21" spans="1:31" ht="21.75" customHeight="1" x14ac:dyDescent="0.35">
      <c r="E21" s="2"/>
      <c r="F21" s="2"/>
    </row>
    <row r="22" spans="1:31" ht="21.75" customHeight="1" x14ac:dyDescent="0.35">
      <c r="E22" s="2"/>
      <c r="F22" s="2"/>
    </row>
    <row r="23" spans="1:31" x14ac:dyDescent="0.35">
      <c r="E23" s="2"/>
      <c r="F23" s="2"/>
    </row>
    <row r="24" spans="1:31" x14ac:dyDescent="0.35">
      <c r="E24" s="2"/>
      <c r="F24" s="2"/>
    </row>
    <row r="25" spans="1:31" x14ac:dyDescent="0.35">
      <c r="E25" s="2"/>
      <c r="F25" s="2"/>
    </row>
    <row r="26" spans="1:31" x14ac:dyDescent="0.35">
      <c r="E26" s="2"/>
      <c r="F26" s="2"/>
    </row>
    <row r="27" spans="1:31" x14ac:dyDescent="0.35">
      <c r="E27" s="2"/>
      <c r="F27" s="2"/>
    </row>
    <row r="28" spans="1:31" x14ac:dyDescent="0.35">
      <c r="E28" s="2"/>
      <c r="F28" s="2"/>
    </row>
    <row r="29" spans="1:31" x14ac:dyDescent="0.35">
      <c r="E29" s="2"/>
      <c r="F29" s="2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</sheetData>
  <sheetProtection selectLockedCells="1"/>
  <phoneticPr fontId="23" type="noConversion"/>
  <conditionalFormatting sqref="C4:C14">
    <cfRule type="iconSet" priority="357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4">
    <cfRule type="iconSet" priority="357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4">
    <cfRule type="iconSet" priority="357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4">
    <cfRule type="iconSet" priority="358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4">
    <cfRule type="iconSet" priority="358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3:X23"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4">
    <cfRule type="iconSet" priority="358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4">
    <cfRule type="iconSet" priority="358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3:I14"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4">
    <cfRule type="iconSet" priority="358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4">
    <cfRule type="iconSet" priority="359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3:K14">
    <cfRule type="iconSet" priority="1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4">
    <cfRule type="iconSet" priority="359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4">
    <cfRule type="iconSet" priority="359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4">
    <cfRule type="iconSet" priority="35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4">
    <cfRule type="iconSet" priority="35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13:O14">
    <cfRule type="iconSet" priority="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4">
    <cfRule type="iconSet" priority="359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4">
    <cfRule type="iconSet" priority="360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4">
    <cfRule type="iconSet" priority="360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4">
    <cfRule type="iconSet" priority="360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13:S14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4">
    <cfRule type="iconSet" priority="360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4">
    <cfRule type="iconSet" priority="360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4">
    <cfRule type="iconSet" priority="360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4">
    <cfRule type="iconSet" priority="361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13:W14">
    <cfRule type="iconSet" priority="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tabColor rgb="FF008000"/>
    <pageSetUpPr fitToPage="1"/>
  </sheetPr>
  <dimension ref="A1:AE45"/>
  <sheetViews>
    <sheetView showGridLines="0" zoomScale="70" zoomScaleNormal="70" workbookViewId="0">
      <pane xSplit="1" topLeftCell="B1" activePane="topRight" state="frozenSplit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154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47</v>
      </c>
      <c r="B4" s="13" t="s">
        <v>71</v>
      </c>
      <c r="C4" s="51">
        <v>4.6372809548190785E-2</v>
      </c>
      <c r="D4" s="51">
        <v>1.261429085673146</v>
      </c>
      <c r="E4" s="51">
        <v>8.5687872497499151E-2</v>
      </c>
      <c r="F4" s="51">
        <v>0.24464831804281348</v>
      </c>
      <c r="G4" s="55">
        <v>0.54118287917049412</v>
      </c>
      <c r="H4" s="51">
        <v>4.002046549261884E-2</v>
      </c>
      <c r="I4" s="52">
        <v>7.5914222307292736E-2</v>
      </c>
      <c r="J4" s="51">
        <v>0.18613448950097761</v>
      </c>
      <c r="K4" s="55">
        <v>0.52718007609457196</v>
      </c>
      <c r="L4" s="51">
        <v>3.7418426838624397E-2</v>
      </c>
      <c r="M4" s="51">
        <v>8.0886468581070167E-2</v>
      </c>
      <c r="N4" s="51">
        <v>0.18613448950097761</v>
      </c>
      <c r="O4" s="55">
        <v>0.46260428344848548</v>
      </c>
      <c r="P4" s="51">
        <v>9.1559333362969619E-2</v>
      </c>
      <c r="Q4" s="51">
        <v>8.1369113799350593E-2</v>
      </c>
      <c r="R4" s="51">
        <v>0.11191379943675764</v>
      </c>
      <c r="S4" s="55">
        <v>1.1252344911700434</v>
      </c>
      <c r="T4" s="51">
        <v>5.7168660630485091E-2</v>
      </c>
      <c r="U4" s="51">
        <v>8.6112490757218219E-2</v>
      </c>
      <c r="V4" s="51">
        <v>0.11191379943675764</v>
      </c>
      <c r="W4" s="55">
        <v>0.66388348691090482</v>
      </c>
      <c r="X4" s="31">
        <v>41640</v>
      </c>
      <c r="Y4" s="33">
        <v>6</v>
      </c>
      <c r="Z4" s="48" t="s">
        <v>114</v>
      </c>
      <c r="AA4" s="48" t="s">
        <v>112</v>
      </c>
      <c r="AB4" s="48" t="s">
        <v>114</v>
      </c>
      <c r="AC4" s="48" t="s">
        <v>114</v>
      </c>
      <c r="AD4" s="50" t="s">
        <v>112</v>
      </c>
      <c r="AE4" s="50" t="s">
        <v>33</v>
      </c>
    </row>
    <row r="5" spans="1:31" s="8" customFormat="1" ht="21.75" customHeight="1" x14ac:dyDescent="0.35">
      <c r="A5" s="12" t="s">
        <v>69</v>
      </c>
      <c r="B5" s="13" t="s">
        <v>72</v>
      </c>
      <c r="C5" s="51">
        <v>4.0520417962989441E-2</v>
      </c>
      <c r="D5" s="51">
        <v>1.0442524916943525</v>
      </c>
      <c r="E5" s="51">
        <v>0.1082241626294954</v>
      </c>
      <c r="F5" s="51">
        <v>0.33807308970099664</v>
      </c>
      <c r="G5" s="55">
        <v>0.37441193332870393</v>
      </c>
      <c r="H5" s="51">
        <v>5.0313996978723186E-2</v>
      </c>
      <c r="I5" s="52">
        <v>8.1314828166766023E-2</v>
      </c>
      <c r="J5" s="51">
        <v>0.19448754593711717</v>
      </c>
      <c r="K5" s="55">
        <v>0.61875549777385974</v>
      </c>
      <c r="L5" s="51">
        <v>4.7146313772106652E-2</v>
      </c>
      <c r="M5" s="51">
        <v>7.3902142335980581E-2</v>
      </c>
      <c r="N5" s="51">
        <v>0.18426755273042467</v>
      </c>
      <c r="O5" s="55">
        <v>0.63795598181397539</v>
      </c>
      <c r="P5" s="51">
        <v>9.1450328596268449E-2</v>
      </c>
      <c r="Q5" s="51">
        <v>6.4429531821778907E-2</v>
      </c>
      <c r="R5" s="51">
        <v>9.2888439501179657E-2</v>
      </c>
      <c r="S5" s="55">
        <v>1.4193852727229626</v>
      </c>
      <c r="T5" s="51">
        <v>8.1501984937123018E-2</v>
      </c>
      <c r="U5" s="51">
        <v>6.8988987403347135E-2</v>
      </c>
      <c r="V5" s="51">
        <v>9.2888439501179657E-2</v>
      </c>
      <c r="W5" s="55">
        <v>1.181376738588988</v>
      </c>
      <c r="X5" s="31">
        <v>44562</v>
      </c>
      <c r="Y5" s="33">
        <v>8</v>
      </c>
      <c r="Z5" s="33" t="s">
        <v>114</v>
      </c>
      <c r="AA5" s="33" t="s">
        <v>114</v>
      </c>
      <c r="AB5" s="33" t="s">
        <v>114</v>
      </c>
      <c r="AC5" s="33" t="s">
        <v>113</v>
      </c>
      <c r="AD5" s="47" t="s">
        <v>114</v>
      </c>
      <c r="AE5" s="47" t="s">
        <v>31</v>
      </c>
    </row>
    <row r="6" spans="1:31" s="8" customFormat="1" ht="21.75" customHeight="1" x14ac:dyDescent="0.35">
      <c r="A6" s="12" t="s">
        <v>250</v>
      </c>
      <c r="B6" s="13" t="s">
        <v>254</v>
      </c>
      <c r="C6" s="51">
        <v>3.8911694403515051E-2</v>
      </c>
      <c r="D6" s="51">
        <v>0.9880995311936529</v>
      </c>
      <c r="E6" s="51">
        <v>9.3859260187266924E-2</v>
      </c>
      <c r="F6" s="51">
        <v>0.25200144248106754</v>
      </c>
      <c r="G6" s="55">
        <v>0.41457491062553531</v>
      </c>
      <c r="H6" s="51">
        <v>3.9354017735294011E-2</v>
      </c>
      <c r="I6" s="52">
        <v>8.3767860883206952E-2</v>
      </c>
      <c r="J6" s="51">
        <v>0.21482422702244811</v>
      </c>
      <c r="K6" s="55">
        <v>0.46979852798393901</v>
      </c>
      <c r="L6" s="51">
        <v>3.6276130385894945E-2</v>
      </c>
      <c r="M6" s="51">
        <v>7.7021236555793085E-2</v>
      </c>
      <c r="N6" s="51">
        <v>0.1813820673900628</v>
      </c>
      <c r="O6" s="55">
        <v>0.47098867803319455</v>
      </c>
      <c r="P6" s="51">
        <v>6.8344399986004056E-2</v>
      </c>
      <c r="Q6" s="51">
        <v>6.4539840754477718E-2</v>
      </c>
      <c r="R6" s="51">
        <v>9.367060230159914E-2</v>
      </c>
      <c r="S6" s="55">
        <v>1.0589490024618999</v>
      </c>
      <c r="T6" s="51">
        <v>7.1034843387498769E-2</v>
      </c>
      <c r="U6" s="51">
        <v>6.233559700259942E-2</v>
      </c>
      <c r="V6" s="51">
        <v>9.367060230159914E-2</v>
      </c>
      <c r="W6" s="55">
        <v>1.1395550344137491</v>
      </c>
      <c r="X6" s="31">
        <v>41640</v>
      </c>
      <c r="Y6" s="33">
        <v>8</v>
      </c>
      <c r="Z6" s="48" t="s">
        <v>113</v>
      </c>
      <c r="AA6" s="48" t="s">
        <v>114</v>
      </c>
      <c r="AB6" s="48" t="s">
        <v>114</v>
      </c>
      <c r="AC6" s="48" t="s">
        <v>113</v>
      </c>
      <c r="AD6" s="50" t="s">
        <v>114</v>
      </c>
      <c r="AE6" s="50" t="s">
        <v>31</v>
      </c>
    </row>
    <row r="7" spans="1:31" s="8" customFormat="1" ht="21.75" customHeight="1" x14ac:dyDescent="0.35">
      <c r="A7" s="12" t="s">
        <v>27</v>
      </c>
      <c r="B7" s="13" t="s">
        <v>228</v>
      </c>
      <c r="C7" s="51">
        <v>3.5620056632493569E-2</v>
      </c>
      <c r="D7" s="51">
        <v>0.87771189503879898</v>
      </c>
      <c r="E7" s="51">
        <v>0.10314307726907518</v>
      </c>
      <c r="F7" s="51">
        <v>0.30030224026947833</v>
      </c>
      <c r="G7" s="55">
        <v>0.34534607242296556</v>
      </c>
      <c r="H7" s="51">
        <v>3.8922936243403594E-2</v>
      </c>
      <c r="I7" s="52">
        <v>8.9994267460602115E-2</v>
      </c>
      <c r="J7" s="51">
        <v>0.21792709951858177</v>
      </c>
      <c r="K7" s="55">
        <v>0.43250461770182597</v>
      </c>
      <c r="L7" s="51">
        <v>4.7947900380607589E-2</v>
      </c>
      <c r="M7" s="51">
        <v>8.5815445252019451E-2</v>
      </c>
      <c r="N7" s="51">
        <v>0.2098779052662548</v>
      </c>
      <c r="O7" s="55">
        <v>0.55873275771973296</v>
      </c>
      <c r="P7" s="51">
        <v>9.8381575706938618E-2</v>
      </c>
      <c r="Q7" s="51">
        <v>7.4067641189353745E-2</v>
      </c>
      <c r="R7" s="51">
        <v>7.6493446506286505E-2</v>
      </c>
      <c r="S7" s="55">
        <v>1.3282666239556131</v>
      </c>
      <c r="T7" s="51">
        <v>9.7794691205167483E-2</v>
      </c>
      <c r="U7" s="51">
        <v>8.2301421801939723E-2</v>
      </c>
      <c r="V7" s="51">
        <v>7.6493446506286505E-2</v>
      </c>
      <c r="W7" s="55">
        <v>1.1882503250127643</v>
      </c>
      <c r="X7" s="31">
        <v>41640</v>
      </c>
      <c r="Y7" s="33">
        <v>8</v>
      </c>
      <c r="Z7" s="48" t="s">
        <v>113</v>
      </c>
      <c r="AA7" s="48" t="s">
        <v>113</v>
      </c>
      <c r="AB7" s="48" t="s">
        <v>114</v>
      </c>
      <c r="AC7" s="48" t="s">
        <v>113</v>
      </c>
      <c r="AD7" s="50" t="s">
        <v>114</v>
      </c>
      <c r="AE7" s="50" t="s">
        <v>31</v>
      </c>
    </row>
    <row r="8" spans="1:31" s="8" customFormat="1" ht="21.75" customHeight="1" x14ac:dyDescent="0.35">
      <c r="A8" s="12" t="s">
        <v>138</v>
      </c>
      <c r="B8" s="13" t="s">
        <v>147</v>
      </c>
      <c r="C8" s="53">
        <v>2.2978998121707006E-2</v>
      </c>
      <c r="D8" s="53">
        <v>0.50527006562342258</v>
      </c>
      <c r="E8" s="53">
        <v>0.11062778933365436</v>
      </c>
      <c r="F8" s="53">
        <v>0.30439172135285203</v>
      </c>
      <c r="G8" s="56">
        <v>0.20771451965294319</v>
      </c>
      <c r="H8" s="54">
        <v>3.8044154736152969E-2</v>
      </c>
      <c r="I8" s="52">
        <v>9.1926748068964906E-2</v>
      </c>
      <c r="J8" s="54">
        <v>0.22408276073402714</v>
      </c>
      <c r="K8" s="56">
        <v>0.41385293764130154</v>
      </c>
      <c r="L8" s="53">
        <v>6.5435881388754558E-2</v>
      </c>
      <c r="M8" s="53">
        <v>7.9765849998002139E-2</v>
      </c>
      <c r="N8" s="53">
        <v>0.17117265407459234</v>
      </c>
      <c r="O8" s="56">
        <v>0.82034957805117736</v>
      </c>
      <c r="P8" s="53">
        <v>0.11891431160650257</v>
      </c>
      <c r="Q8" s="53">
        <v>7.0517006474826532E-2</v>
      </c>
      <c r="R8" s="53">
        <v>4.700616669982096E-2</v>
      </c>
      <c r="S8" s="56">
        <v>1.6863210387263547</v>
      </c>
      <c r="T8" s="53">
        <v>0.11761689649880491</v>
      </c>
      <c r="U8" s="53">
        <v>8.1828026483129937E-2</v>
      </c>
      <c r="V8" s="53">
        <v>3.308690340263188E-2</v>
      </c>
      <c r="W8" s="56">
        <v>1.4373668968180893</v>
      </c>
      <c r="X8" s="31">
        <v>45657</v>
      </c>
      <c r="Y8" s="33">
        <v>8</v>
      </c>
      <c r="Z8" s="48" t="s">
        <v>114</v>
      </c>
      <c r="AA8" s="48" t="s">
        <v>114</v>
      </c>
      <c r="AB8" s="48" t="s">
        <v>114</v>
      </c>
      <c r="AC8" s="48" t="s">
        <v>114</v>
      </c>
      <c r="AD8" s="50" t="s">
        <v>114</v>
      </c>
      <c r="AE8" s="50" t="s">
        <v>31</v>
      </c>
    </row>
    <row r="9" spans="1:31" s="8" customFormat="1" ht="21.75" customHeight="1" x14ac:dyDescent="0.35">
      <c r="A9" s="12" t="s">
        <v>156</v>
      </c>
      <c r="B9" s="13" t="s">
        <v>170</v>
      </c>
      <c r="C9" s="53" t="s">
        <v>112</v>
      </c>
      <c r="D9" s="53" t="s">
        <v>112</v>
      </c>
      <c r="E9" s="53" t="s">
        <v>112</v>
      </c>
      <c r="F9" s="53" t="s">
        <v>112</v>
      </c>
      <c r="G9" s="56" t="s">
        <v>112</v>
      </c>
      <c r="H9" s="54">
        <v>4.0948209506194599E-2</v>
      </c>
      <c r="I9" s="52">
        <v>7.2335147752277659E-2</v>
      </c>
      <c r="J9" s="54">
        <v>0.21947271370859897</v>
      </c>
      <c r="K9" s="56">
        <v>0.56609007900872421</v>
      </c>
      <c r="L9" s="53">
        <v>3.6808559147611275E-2</v>
      </c>
      <c r="M9" s="53">
        <v>6.4826076046677381E-2</v>
      </c>
      <c r="N9" s="53">
        <v>0.17432469714830329</v>
      </c>
      <c r="O9" s="56">
        <v>0.56780483090026357</v>
      </c>
      <c r="P9" s="53">
        <v>6.8132667998798579E-2</v>
      </c>
      <c r="Q9" s="53">
        <v>4.8779876197798291E-2</v>
      </c>
      <c r="R9" s="53">
        <v>6.2481156763666688E-2</v>
      </c>
      <c r="S9" s="56">
        <v>1.3967372061898302</v>
      </c>
      <c r="T9" s="53">
        <v>5.9984512138722135E-2</v>
      </c>
      <c r="U9" s="53">
        <v>5.1182893233542928E-2</v>
      </c>
      <c r="V9" s="53">
        <v>6.2481156763666688E-2</v>
      </c>
      <c r="W9" s="56">
        <v>1.171964075282306</v>
      </c>
      <c r="X9" s="31" t="s">
        <v>112</v>
      </c>
      <c r="Y9" s="33">
        <v>6</v>
      </c>
      <c r="Z9" s="48" t="s">
        <v>32</v>
      </c>
      <c r="AA9" s="48" t="s">
        <v>32</v>
      </c>
      <c r="AB9" s="48" t="s">
        <v>32</v>
      </c>
      <c r="AC9" s="48" t="s">
        <v>32</v>
      </c>
      <c r="AD9" s="50" t="s">
        <v>32</v>
      </c>
      <c r="AE9" s="50" t="s">
        <v>31</v>
      </c>
    </row>
    <row r="10" spans="1:31" s="8" customFormat="1" ht="21.75" customHeight="1" x14ac:dyDescent="0.35">
      <c r="A10" s="12" t="s">
        <v>48</v>
      </c>
      <c r="B10" s="13" t="s">
        <v>73</v>
      </c>
      <c r="C10" s="53" t="s">
        <v>112</v>
      </c>
      <c r="D10" s="53" t="s">
        <v>112</v>
      </c>
      <c r="E10" s="53" t="s">
        <v>112</v>
      </c>
      <c r="F10" s="53" t="s">
        <v>112</v>
      </c>
      <c r="G10" s="56" t="s">
        <v>112</v>
      </c>
      <c r="H10" s="54">
        <v>2.7979407582450433E-2</v>
      </c>
      <c r="I10" s="52">
        <v>7.156924163259698E-2</v>
      </c>
      <c r="J10" s="54">
        <v>0.21608579088471849</v>
      </c>
      <c r="K10" s="56">
        <v>0.390941792091128</v>
      </c>
      <c r="L10" s="53">
        <v>3.7657699835299097E-2</v>
      </c>
      <c r="M10" s="53">
        <v>4.973177411289828E-2</v>
      </c>
      <c r="N10" s="53">
        <v>0.170866935483871</v>
      </c>
      <c r="O10" s="56">
        <v>0.75721609588692129</v>
      </c>
      <c r="P10" s="53">
        <v>7.6580658170362303E-2</v>
      </c>
      <c r="Q10" s="53">
        <v>4.6537630802730552E-2</v>
      </c>
      <c r="R10" s="53">
        <v>8.289410637278391E-2</v>
      </c>
      <c r="S10" s="56">
        <v>1.645564177836681</v>
      </c>
      <c r="T10" s="53">
        <v>7.1431830989961531E-2</v>
      </c>
      <c r="U10" s="53">
        <v>6.4642588562464104E-2</v>
      </c>
      <c r="V10" s="53">
        <v>8.289410637278391E-2</v>
      </c>
      <c r="W10" s="56">
        <v>1.1050273910509785</v>
      </c>
      <c r="X10" s="31">
        <v>41820</v>
      </c>
      <c r="Y10" s="33">
        <v>8</v>
      </c>
      <c r="Z10" s="48" t="s">
        <v>112</v>
      </c>
      <c r="AA10" s="48" t="s">
        <v>114</v>
      </c>
      <c r="AB10" s="48" t="s">
        <v>114</v>
      </c>
      <c r="AC10" s="48" t="s">
        <v>114</v>
      </c>
      <c r="AD10" s="50" t="s">
        <v>112</v>
      </c>
      <c r="AE10" s="50" t="s">
        <v>33</v>
      </c>
    </row>
    <row r="11" spans="1:31" s="8" customFormat="1" ht="21.75" customHeight="1" x14ac:dyDescent="0.35">
      <c r="A11" s="12" t="s">
        <v>49</v>
      </c>
      <c r="B11" s="13" t="s">
        <v>74</v>
      </c>
      <c r="C11" s="53">
        <v>3.3963453561650647E-2</v>
      </c>
      <c r="D11" s="53">
        <v>0.82437137330754351</v>
      </c>
      <c r="E11" s="53">
        <v>8.4225835368565996E-2</v>
      </c>
      <c r="F11" s="53">
        <v>0.25125888277095398</v>
      </c>
      <c r="G11" s="56">
        <v>0.40324270353661795</v>
      </c>
      <c r="H11" s="54">
        <v>3.4644802813929454E-2</v>
      </c>
      <c r="I11" s="52">
        <v>8.9517404063492706E-2</v>
      </c>
      <c r="J11" s="54">
        <v>0.25125888277095398</v>
      </c>
      <c r="K11" s="56">
        <v>0.38701750990630451</v>
      </c>
      <c r="L11" s="53">
        <v>2.7174425070688013E-2</v>
      </c>
      <c r="M11" s="53">
        <v>8.0068970711050264E-2</v>
      </c>
      <c r="N11" s="53">
        <v>0.21236208843714702</v>
      </c>
      <c r="O11" s="56">
        <v>0.33938771573265258</v>
      </c>
      <c r="P11" s="53">
        <v>8.0665720347280923E-2</v>
      </c>
      <c r="Q11" s="53">
        <v>7.1654346556487031E-2</v>
      </c>
      <c r="R11" s="53">
        <v>0.11562739912991561</v>
      </c>
      <c r="S11" s="56">
        <v>1.1257617189166604</v>
      </c>
      <c r="T11" s="53">
        <v>3.4007443424204364E-2</v>
      </c>
      <c r="U11" s="53">
        <v>8.1697137482213911E-2</v>
      </c>
      <c r="V11" s="53">
        <v>0.11562739912991561</v>
      </c>
      <c r="W11" s="56">
        <v>0.41626236208836626</v>
      </c>
      <c r="X11" s="31">
        <v>43465</v>
      </c>
      <c r="Y11" s="33">
        <v>8</v>
      </c>
      <c r="Z11" s="48" t="s">
        <v>114</v>
      </c>
      <c r="AA11" s="48" t="s">
        <v>112</v>
      </c>
      <c r="AB11" s="48" t="s">
        <v>114</v>
      </c>
      <c r="AC11" s="48" t="s">
        <v>114</v>
      </c>
      <c r="AD11" s="50" t="s">
        <v>112</v>
      </c>
      <c r="AE11" s="50" t="s">
        <v>29</v>
      </c>
    </row>
    <row r="12" spans="1:31" s="8" customFormat="1" ht="21.75" customHeight="1" x14ac:dyDescent="0.35">
      <c r="A12" s="12" t="s">
        <v>70</v>
      </c>
      <c r="B12" s="13" t="s">
        <v>123</v>
      </c>
      <c r="C12" s="53">
        <v>3.6051630935645562E-2</v>
      </c>
      <c r="D12" s="53">
        <v>0.89184796854521653</v>
      </c>
      <c r="E12" s="53">
        <v>0.10531825389787995</v>
      </c>
      <c r="F12" s="53">
        <v>0.34542595019659234</v>
      </c>
      <c r="G12" s="56">
        <v>0.3423113240236817</v>
      </c>
      <c r="H12" s="54">
        <v>3.4052311402070767E-2</v>
      </c>
      <c r="I12" s="52">
        <v>8.3378353487376697E-2</v>
      </c>
      <c r="J12" s="54">
        <v>0.22669881777688475</v>
      </c>
      <c r="K12" s="56">
        <v>0.40840709821915844</v>
      </c>
      <c r="L12" s="53">
        <v>4.6129122058733874E-2</v>
      </c>
      <c r="M12" s="53">
        <v>6.9725041083598616E-2</v>
      </c>
      <c r="N12" s="53">
        <v>0.15301724137931028</v>
      </c>
      <c r="O12" s="56">
        <v>0.6615861581698631</v>
      </c>
      <c r="P12" s="53">
        <v>8.7549016549336223E-2</v>
      </c>
      <c r="Q12" s="53">
        <v>5.9803727059505436E-2</v>
      </c>
      <c r="R12" s="53">
        <v>8.0618346215546047E-2</v>
      </c>
      <c r="S12" s="56">
        <v>1.4639391364726129</v>
      </c>
      <c r="T12" s="53">
        <v>0.10973130671389786</v>
      </c>
      <c r="U12" s="53">
        <v>6.8439026180794782E-2</v>
      </c>
      <c r="V12" s="53">
        <v>8.0618346215546047E-2</v>
      </c>
      <c r="W12" s="56">
        <v>1.6033440689822445</v>
      </c>
      <c r="X12" s="31">
        <v>41640</v>
      </c>
      <c r="Y12" s="33">
        <v>6</v>
      </c>
      <c r="Z12" s="48" t="s">
        <v>114</v>
      </c>
      <c r="AA12" s="48" t="s">
        <v>112</v>
      </c>
      <c r="AB12" s="48" t="s">
        <v>114</v>
      </c>
      <c r="AC12" s="48" t="s">
        <v>114</v>
      </c>
      <c r="AD12" s="50" t="s">
        <v>112</v>
      </c>
      <c r="AE12" s="50" t="s">
        <v>31</v>
      </c>
    </row>
    <row r="13" spans="1:31" s="8" customFormat="1" ht="21.75" customHeight="1" x14ac:dyDescent="0.35">
      <c r="A13" s="12" t="s">
        <v>50</v>
      </c>
      <c r="B13" s="13" t="s">
        <v>171</v>
      </c>
      <c r="C13" s="53">
        <v>4.5493467050447212E-2</v>
      </c>
      <c r="D13" s="53">
        <v>1.2274618296529969</v>
      </c>
      <c r="E13" s="53">
        <v>7.5630940777336425E-2</v>
      </c>
      <c r="F13" s="53">
        <v>0.25299684542586748</v>
      </c>
      <c r="G13" s="56">
        <v>0.60151925366608405</v>
      </c>
      <c r="H13" s="54">
        <v>4.2233966482274621E-2</v>
      </c>
      <c r="I13" s="52">
        <v>7.260863067010509E-2</v>
      </c>
      <c r="J13" s="54">
        <v>0.20619639134698303</v>
      </c>
      <c r="K13" s="56">
        <v>0.58166592721137034</v>
      </c>
      <c r="L13" s="53">
        <v>4.6992723920439072E-2</v>
      </c>
      <c r="M13" s="53">
        <v>6.3854383376626217E-2</v>
      </c>
      <c r="N13" s="53">
        <v>0.14390917512158183</v>
      </c>
      <c r="O13" s="56">
        <v>0.73593575625445118</v>
      </c>
      <c r="P13" s="53">
        <v>7.9471336333185816E-2</v>
      </c>
      <c r="Q13" s="53">
        <v>5.5013657818222407E-2</v>
      </c>
      <c r="R13" s="53">
        <v>8.6197796359268192E-2</v>
      </c>
      <c r="S13" s="56">
        <v>1.4445746653635925</v>
      </c>
      <c r="T13" s="53">
        <v>6.3152426234629244E-2</v>
      </c>
      <c r="U13" s="53">
        <v>6.1435355288570255E-2</v>
      </c>
      <c r="V13" s="53">
        <v>8.6197796359268192E-2</v>
      </c>
      <c r="W13" s="56">
        <v>1.0279492311551495</v>
      </c>
      <c r="X13" s="31">
        <v>42370</v>
      </c>
      <c r="Y13" s="33">
        <v>8</v>
      </c>
      <c r="Z13" s="48" t="s">
        <v>32</v>
      </c>
      <c r="AA13" s="48" t="s">
        <v>32</v>
      </c>
      <c r="AB13" s="48" t="s">
        <v>32</v>
      </c>
      <c r="AC13" s="48" t="s">
        <v>32</v>
      </c>
      <c r="AD13" s="50" t="s">
        <v>32</v>
      </c>
      <c r="AE13" s="50" t="s">
        <v>31</v>
      </c>
    </row>
    <row r="14" spans="1:31" s="8" customFormat="1" ht="21.75" customHeight="1" x14ac:dyDescent="0.35">
      <c r="A14" s="12" t="s">
        <v>42</v>
      </c>
      <c r="B14" s="13" t="s">
        <v>172</v>
      </c>
      <c r="C14" s="53" t="s">
        <v>112</v>
      </c>
      <c r="D14" s="53" t="s">
        <v>112</v>
      </c>
      <c r="E14" s="53" t="s">
        <v>112</v>
      </c>
      <c r="F14" s="53" t="s">
        <v>112</v>
      </c>
      <c r="G14" s="56" t="s">
        <v>112</v>
      </c>
      <c r="H14" s="54" t="s">
        <v>112</v>
      </c>
      <c r="I14" s="52" t="s">
        <v>112</v>
      </c>
      <c r="J14" s="54" t="s">
        <v>112</v>
      </c>
      <c r="K14" s="56" t="s">
        <v>112</v>
      </c>
      <c r="L14" s="53">
        <v>3.8051316329583473E-2</v>
      </c>
      <c r="M14" s="53">
        <v>4.8564475088732482E-2</v>
      </c>
      <c r="N14" s="53">
        <v>0.14592009871972852</v>
      </c>
      <c r="O14" s="56">
        <v>0.78352162275119119</v>
      </c>
      <c r="P14" s="53">
        <v>7.9609755199957499E-2</v>
      </c>
      <c r="Q14" s="53">
        <v>3.6344416964620402E-2</v>
      </c>
      <c r="R14" s="53">
        <v>6.2143630458318388E-2</v>
      </c>
      <c r="S14" s="56">
        <v>2.1904259814500229</v>
      </c>
      <c r="T14" s="53">
        <v>4.3244674184614862E-2</v>
      </c>
      <c r="U14" s="53">
        <v>2.2652162217517004E-2</v>
      </c>
      <c r="V14" s="53">
        <v>6.2143630458318388E-2</v>
      </c>
      <c r="W14" s="56">
        <v>1.9090748940149116</v>
      </c>
      <c r="X14" s="31" t="s">
        <v>112</v>
      </c>
      <c r="Y14" s="33">
        <v>8</v>
      </c>
      <c r="Z14" s="48" t="s">
        <v>114</v>
      </c>
      <c r="AA14" s="48" t="s">
        <v>114</v>
      </c>
      <c r="AB14" s="48" t="s">
        <v>114</v>
      </c>
      <c r="AC14" s="48" t="s">
        <v>114</v>
      </c>
      <c r="AD14" s="50" t="s">
        <v>114</v>
      </c>
      <c r="AE14" s="50" t="s">
        <v>33</v>
      </c>
    </row>
    <row r="15" spans="1:31" s="8" customFormat="1" ht="21.75" customHeight="1" x14ac:dyDescent="0.35">
      <c r="A15" s="12" t="s">
        <v>157</v>
      </c>
      <c r="B15" s="13" t="s">
        <v>173</v>
      </c>
      <c r="C15" s="53">
        <v>3.3982288115389947E-2</v>
      </c>
      <c r="D15" s="53">
        <v>0.82496969696969691</v>
      </c>
      <c r="E15" s="53">
        <v>0.13197626305733234</v>
      </c>
      <c r="F15" s="53">
        <v>0.26763636363636362</v>
      </c>
      <c r="G15" s="56">
        <v>0.25748787947289858</v>
      </c>
      <c r="H15" s="54">
        <v>3.8869350522057866E-2</v>
      </c>
      <c r="I15" s="52">
        <v>0.10333695908091005</v>
      </c>
      <c r="J15" s="54">
        <v>0.22612240920018192</v>
      </c>
      <c r="K15" s="56">
        <v>0.37614180703366945</v>
      </c>
      <c r="L15" s="53">
        <v>4.8605588310084213E-2</v>
      </c>
      <c r="M15" s="53">
        <v>8.4303093486787981E-2</v>
      </c>
      <c r="N15" s="53">
        <v>0.18111961533194346</v>
      </c>
      <c r="O15" s="56">
        <v>0.5765575888113964</v>
      </c>
      <c r="P15" s="53">
        <v>9.5208464634370715E-2</v>
      </c>
      <c r="Q15" s="53">
        <v>7.1457793258634023E-2</v>
      </c>
      <c r="R15" s="53">
        <v>8.1719296298351563E-2</v>
      </c>
      <c r="S15" s="56">
        <v>1.3323734234245608</v>
      </c>
      <c r="T15" s="53">
        <v>0.11273617827263438</v>
      </c>
      <c r="U15" s="53">
        <v>7.961214048498122E-2</v>
      </c>
      <c r="V15" s="53">
        <v>8.1719296298351563E-2</v>
      </c>
      <c r="W15" s="56">
        <v>1.4160676699039638</v>
      </c>
      <c r="X15" s="31">
        <v>44926</v>
      </c>
      <c r="Y15" s="33">
        <v>8</v>
      </c>
      <c r="Z15" s="33" t="s">
        <v>114</v>
      </c>
      <c r="AA15" s="33" t="s">
        <v>113</v>
      </c>
      <c r="AB15" s="33" t="s">
        <v>114</v>
      </c>
      <c r="AC15" s="33" t="s">
        <v>113</v>
      </c>
      <c r="AD15" s="47" t="s">
        <v>114</v>
      </c>
      <c r="AE15" s="47" t="s">
        <v>31</v>
      </c>
    </row>
    <row r="16" spans="1:31" s="8" customFormat="1" ht="21.75" customHeight="1" x14ac:dyDescent="0.35">
      <c r="A16" s="12"/>
      <c r="B16" s="13"/>
      <c r="C16" s="21"/>
      <c r="D16" s="21"/>
      <c r="E16" s="21"/>
      <c r="F16" s="21"/>
      <c r="G16" s="24"/>
      <c r="H16" s="21"/>
      <c r="I16" s="21"/>
      <c r="J16" s="21"/>
      <c r="K16" s="24"/>
      <c r="L16" s="21"/>
      <c r="M16" s="21"/>
      <c r="N16" s="21"/>
      <c r="O16" s="24"/>
      <c r="P16" s="21"/>
      <c r="Q16" s="21"/>
      <c r="R16" s="21"/>
      <c r="S16" s="24"/>
      <c r="T16" s="21"/>
      <c r="U16" s="21"/>
      <c r="V16" s="21"/>
      <c r="W16" s="24"/>
      <c r="X16" s="16"/>
      <c r="Y16" s="28"/>
      <c r="Z16" s="15"/>
      <c r="AA16" s="15"/>
      <c r="AB16" s="15"/>
      <c r="AC16" s="15"/>
    </row>
    <row r="17" spans="1:31" s="1" customFormat="1" ht="21.75" customHeight="1" x14ac:dyDescent="0.35">
      <c r="A17" s="36" t="s">
        <v>2</v>
      </c>
      <c r="B17" s="36" t="s">
        <v>3</v>
      </c>
      <c r="C17" s="37">
        <f>AVERAGE(Table9[Performance annualisée depuis 01/08])</f>
        <v>3.7099424036892134E-2</v>
      </c>
      <c r="D17" s="37">
        <f>AVERAGE(Table9[Perf. Totale depuis 01/08])</f>
        <v>0.93837932641098076</v>
      </c>
      <c r="E17" s="37">
        <f>AVERAGE(Table9[Volatilité annualisée depuis 01/08])</f>
        <v>9.9854828335345092E-2</v>
      </c>
      <c r="F17" s="37">
        <f>AVERAGE(Table9[Max Drawdown depuis 01/08])</f>
        <v>0.28408165043077616</v>
      </c>
      <c r="G17" s="42">
        <f>AVERAGE(Table9[Couple Rendement / Risque depuis 01/08])</f>
        <v>0.38753238621110275</v>
      </c>
      <c r="H17" s="37">
        <f>AVERAGE(Table9[Performance annualisée 10 ans])</f>
        <v>3.8671238135924574E-2</v>
      </c>
      <c r="I17" s="37">
        <f>AVERAGE(Table9[Volatilité annualisée 10 ans])</f>
        <v>8.3242151233962891E-2</v>
      </c>
      <c r="J17" s="37">
        <f>AVERAGE(Table9[Max Drawdown 10 ans])</f>
        <v>0.21666282985467936</v>
      </c>
      <c r="K17" s="42">
        <f>AVERAGE(Table9[Couple Rendement Risque 10 ans])</f>
        <v>0.47021417006053207</v>
      </c>
      <c r="L17" s="37">
        <f>AVERAGE(Table9[Performance annualisée 5 ans])</f>
        <v>4.297034061986893E-2</v>
      </c>
      <c r="M17" s="37">
        <f>AVERAGE(Table9[Volatilité annualisée 5 ans])</f>
        <v>7.1538746385769722E-2</v>
      </c>
      <c r="N17" s="37">
        <f>AVERAGE(Table9[Max Drawdown 5 ans])</f>
        <v>0.17619621004868313</v>
      </c>
      <c r="O17" s="42">
        <f>AVERAGE(Table9[Couple Rendement Risque 5 ans])</f>
        <v>0.61438675396444209</v>
      </c>
      <c r="P17" s="37">
        <f>AVERAGE(Table9[Performance annualisée 3 ans])</f>
        <v>8.632229737433128E-2</v>
      </c>
      <c r="Q17" s="37">
        <f>AVERAGE(Table9[Volatilité annualisée 3 ans])</f>
        <v>6.2042881891482132E-2</v>
      </c>
      <c r="R17" s="37">
        <f>AVERAGE(Table9[Max Drawdown 3 ans])</f>
        <v>8.2804515503624512E-2</v>
      </c>
      <c r="S17" s="42">
        <f>AVERAGE(Table9[Couple Rendement Risque 3 ans])</f>
        <v>1.434794394890903</v>
      </c>
      <c r="T17" s="37">
        <f>AVERAGE(Table9[Performance annualisée 1 an])</f>
        <v>7.6617120718145304E-2</v>
      </c>
      <c r="U17" s="37">
        <f>AVERAGE(Table9[Volatilité annualisée 1 an])</f>
        <v>6.760231890819321E-2</v>
      </c>
      <c r="V17" s="37">
        <f>AVERAGE(Table9[Max Drawdown 1 an])</f>
        <v>8.1644576895525442E-2</v>
      </c>
      <c r="W17" s="42">
        <f>AVERAGE(Table9[Couple Rendement Risque 1 an])</f>
        <v>1.1883435145185346</v>
      </c>
      <c r="X17" s="38"/>
      <c r="Y17" s="37"/>
      <c r="Z17" s="37"/>
      <c r="AA17" s="37"/>
      <c r="AB17" s="37"/>
      <c r="AC17" s="37"/>
      <c r="AD17" s="37"/>
      <c r="AE17" s="37"/>
    </row>
    <row r="18" spans="1:31" ht="21.75" customHeight="1" x14ac:dyDescent="0.35">
      <c r="A18" s="7"/>
      <c r="AD18" s="1"/>
      <c r="AE18" s="1"/>
    </row>
    <row r="19" spans="1:31" ht="21.75" customHeight="1" x14ac:dyDescent="0.35">
      <c r="E19" s="2"/>
      <c r="F19" s="2"/>
    </row>
    <row r="20" spans="1:31" ht="21.75" customHeight="1" x14ac:dyDescent="0.35">
      <c r="E20" s="2"/>
      <c r="F20" s="2"/>
    </row>
    <row r="21" spans="1:31" x14ac:dyDescent="0.35">
      <c r="E21" s="2"/>
      <c r="F21" s="2"/>
    </row>
    <row r="22" spans="1:31" x14ac:dyDescent="0.35">
      <c r="E22" s="2"/>
      <c r="F22" s="2"/>
      <c r="AB22" s="6"/>
    </row>
    <row r="23" spans="1:31" x14ac:dyDescent="0.35">
      <c r="E23" s="2"/>
      <c r="F23" s="2"/>
    </row>
    <row r="24" spans="1:31" x14ac:dyDescent="0.35">
      <c r="E24" s="2"/>
      <c r="F24" s="2"/>
    </row>
    <row r="25" spans="1:31" x14ac:dyDescent="0.35">
      <c r="E25" s="2"/>
      <c r="F25" s="2"/>
    </row>
    <row r="26" spans="1:31" x14ac:dyDescent="0.35">
      <c r="E26" s="2"/>
      <c r="F26" s="2"/>
    </row>
    <row r="27" spans="1:31" x14ac:dyDescent="0.35">
      <c r="E27" s="2"/>
      <c r="F27" s="2"/>
    </row>
    <row r="28" spans="1:31" x14ac:dyDescent="0.35">
      <c r="E28" s="2"/>
      <c r="F28" s="2"/>
    </row>
    <row r="29" spans="1:31" x14ac:dyDescent="0.35">
      <c r="E29" s="2"/>
      <c r="F29" s="2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</sheetData>
  <sheetProtection selectLockedCells="1"/>
  <phoneticPr fontId="23" type="noConversion"/>
  <conditionalFormatting sqref="C4:C16">
    <cfRule type="iconSet" priority="494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6">
    <cfRule type="iconSet" priority="494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6">
    <cfRule type="iconSet" priority="494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6">
    <cfRule type="iconSet" priority="495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6">
    <cfRule type="iconSet" priority="495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5:X25"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6">
    <cfRule type="iconSet" priority="495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5">
    <cfRule type="iconSet" priority="495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6">
    <cfRule type="iconSet" priority="33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6">
    <cfRule type="iconSet" priority="495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5">
    <cfRule type="iconSet" priority="496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6">
    <cfRule type="iconSet" priority="33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6">
    <cfRule type="iconSet" priority="496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6">
    <cfRule type="iconSet" priority="496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6">
    <cfRule type="iconSet" priority="49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5">
    <cfRule type="iconSet" priority="496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16">
    <cfRule type="iconSet" priority="33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6">
    <cfRule type="iconSet" priority="497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6">
    <cfRule type="iconSet" priority="497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6">
    <cfRule type="iconSet" priority="497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5">
    <cfRule type="iconSet" priority="497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16">
    <cfRule type="iconSet" priority="333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6">
    <cfRule type="iconSet" priority="497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6">
    <cfRule type="iconSet" priority="498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6">
    <cfRule type="iconSet" priority="498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5">
    <cfRule type="iconSet" priority="498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16">
    <cfRule type="iconSet" priority="334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0C14-FFBD-46CE-84D6-29168A9E9A8A}">
  <sheetPr>
    <tabColor rgb="FF008000"/>
    <pageSetUpPr fitToPage="1"/>
  </sheetPr>
  <dimension ref="A1:AE49"/>
  <sheetViews>
    <sheetView showGridLines="0" zoomScale="70" zoomScaleNormal="70" workbookViewId="0">
      <pane xSplit="1" topLeftCell="B1" activePane="topRight" state="frozenSplit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153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69</v>
      </c>
      <c r="B4" s="13" t="s">
        <v>174</v>
      </c>
      <c r="C4" s="21">
        <v>5.5789182576202911E-2</v>
      </c>
      <c r="D4" s="21">
        <v>1.6571863890299641</v>
      </c>
      <c r="E4" s="21">
        <v>0.12896909881914595</v>
      </c>
      <c r="F4" s="21">
        <v>0.30262684418855706</v>
      </c>
      <c r="G4" s="41">
        <v>0.43257790499440785</v>
      </c>
      <c r="H4" s="21">
        <v>5.2275129776176987E-2</v>
      </c>
      <c r="I4" s="43">
        <v>0.1001413668624228</v>
      </c>
      <c r="J4" s="21">
        <v>0.27958387516254884</v>
      </c>
      <c r="K4" s="41">
        <v>0.52201334387610387</v>
      </c>
      <c r="L4" s="21">
        <v>6.3494751536016691E-2</v>
      </c>
      <c r="M4" s="21">
        <v>8.4844746330425505E-2</v>
      </c>
      <c r="N4" s="21">
        <v>0.20208749722407288</v>
      </c>
      <c r="O4" s="41">
        <v>0.7483639739900706</v>
      </c>
      <c r="P4" s="21">
        <v>0.11177726042564196</v>
      </c>
      <c r="Q4" s="21">
        <v>7.6037485284371653E-2</v>
      </c>
      <c r="R4" s="21">
        <v>0.11482381530984206</v>
      </c>
      <c r="S4" s="41">
        <v>1.4700283683450019</v>
      </c>
      <c r="T4" s="21">
        <v>0.11803409535662457</v>
      </c>
      <c r="U4" s="21">
        <v>9.0556828128247654E-2</v>
      </c>
      <c r="V4" s="21">
        <v>0.11482381530984206</v>
      </c>
      <c r="W4" s="41">
        <v>1.3034256808273286</v>
      </c>
      <c r="X4" s="31">
        <v>44562</v>
      </c>
      <c r="Y4" s="33">
        <v>8</v>
      </c>
      <c r="Z4" s="33" t="s">
        <v>126</v>
      </c>
      <c r="AA4" s="33" t="s">
        <v>114</v>
      </c>
      <c r="AB4" s="33" t="s">
        <v>114</v>
      </c>
      <c r="AC4" s="33" t="s">
        <v>114</v>
      </c>
      <c r="AD4" s="47" t="s">
        <v>114</v>
      </c>
      <c r="AE4" s="47" t="s">
        <v>31</v>
      </c>
    </row>
    <row r="5" spans="1:31" s="8" customFormat="1" ht="21.75" customHeight="1" x14ac:dyDescent="0.35">
      <c r="A5" s="12" t="s">
        <v>250</v>
      </c>
      <c r="B5" s="13" t="s">
        <v>255</v>
      </c>
      <c r="C5" s="21">
        <v>2.9885032360954078E-2</v>
      </c>
      <c r="D5" s="21">
        <v>0.69908436305449384</v>
      </c>
      <c r="E5" s="21">
        <v>8.5972229058520172E-2</v>
      </c>
      <c r="F5" s="21">
        <v>0.26793492754911552</v>
      </c>
      <c r="G5" s="41">
        <v>0.34761262663797782</v>
      </c>
      <c r="H5" s="21">
        <v>3.6975335798101749E-2</v>
      </c>
      <c r="I5" s="43">
        <v>8.0093502204555411E-2</v>
      </c>
      <c r="J5" s="21">
        <v>0.20606372045220972</v>
      </c>
      <c r="K5" s="41">
        <v>0.46165212882898177</v>
      </c>
      <c r="L5" s="21">
        <v>4.0423123481118539E-2</v>
      </c>
      <c r="M5" s="21">
        <v>7.7801664778076582E-2</v>
      </c>
      <c r="N5" s="21">
        <v>0.15437827866489884</v>
      </c>
      <c r="O5" s="41">
        <v>0.51956630486535826</v>
      </c>
      <c r="P5" s="21">
        <v>8.1802215595554451E-2</v>
      </c>
      <c r="Q5" s="21">
        <v>6.8057483648193459E-2</v>
      </c>
      <c r="R5" s="21">
        <v>7.9558948261238299E-2</v>
      </c>
      <c r="S5" s="41">
        <v>1.201957686511171</v>
      </c>
      <c r="T5" s="21">
        <v>0.14879588712866632</v>
      </c>
      <c r="U5" s="21">
        <v>6.4756229724920483E-2</v>
      </c>
      <c r="V5" s="21">
        <v>7.9558948261238299E-2</v>
      </c>
      <c r="W5" s="41">
        <v>2.2977849044136738</v>
      </c>
      <c r="X5" s="31">
        <v>42005</v>
      </c>
      <c r="Y5" s="33">
        <v>8</v>
      </c>
      <c r="Z5" s="33" t="s">
        <v>114</v>
      </c>
      <c r="AA5" s="33" t="s">
        <v>114</v>
      </c>
      <c r="AB5" s="33" t="s">
        <v>114</v>
      </c>
      <c r="AC5" s="33" t="s">
        <v>114</v>
      </c>
      <c r="AD5" s="47" t="s">
        <v>114</v>
      </c>
      <c r="AE5" s="47" t="s">
        <v>33</v>
      </c>
    </row>
    <row r="6" spans="1:31" s="8" customFormat="1" ht="21.75" customHeight="1" x14ac:dyDescent="0.35">
      <c r="A6" s="12" t="s">
        <v>27</v>
      </c>
      <c r="B6" s="13" t="s">
        <v>229</v>
      </c>
      <c r="C6" s="21" t="s">
        <v>112</v>
      </c>
      <c r="D6" s="21" t="s">
        <v>112</v>
      </c>
      <c r="E6" s="21" t="s">
        <v>112</v>
      </c>
      <c r="F6" s="21" t="s">
        <v>112</v>
      </c>
      <c r="G6" s="41" t="s">
        <v>112</v>
      </c>
      <c r="H6" s="21">
        <v>2.5721183642022138E-2</v>
      </c>
      <c r="I6" s="43">
        <v>7.0451094454148641E-2</v>
      </c>
      <c r="J6" s="21">
        <v>0.21515251218454581</v>
      </c>
      <c r="K6" s="41">
        <v>0.36509274754790555</v>
      </c>
      <c r="L6" s="21">
        <v>6.6960022251363327E-3</v>
      </c>
      <c r="M6" s="21">
        <v>5.3983136013622098E-2</v>
      </c>
      <c r="N6" s="21">
        <v>0.21515251218454581</v>
      </c>
      <c r="O6" s="41">
        <v>0.12403877802591284</v>
      </c>
      <c r="P6" s="21">
        <v>5.5953459846908027E-2</v>
      </c>
      <c r="Q6" s="21">
        <v>5.1592120013265109E-2</v>
      </c>
      <c r="R6" s="21">
        <v>9.8065444693730727E-2</v>
      </c>
      <c r="S6" s="41">
        <v>1.0845349993859827</v>
      </c>
      <c r="T6" s="21">
        <v>7.3233336233589741E-2</v>
      </c>
      <c r="U6" s="21">
        <v>5.8862907327707242E-2</v>
      </c>
      <c r="V6" s="21">
        <v>9.8065444693730727E-2</v>
      </c>
      <c r="W6" s="41">
        <v>1.244133862194031</v>
      </c>
      <c r="X6" s="31">
        <v>43830</v>
      </c>
      <c r="Y6" s="33">
        <v>8</v>
      </c>
      <c r="Z6" s="33" t="s">
        <v>114</v>
      </c>
      <c r="AA6" s="33" t="s">
        <v>114</v>
      </c>
      <c r="AB6" s="33" t="s">
        <v>114</v>
      </c>
      <c r="AC6" s="33" t="s">
        <v>114</v>
      </c>
      <c r="AD6" s="47" t="s">
        <v>114</v>
      </c>
      <c r="AE6" s="47" t="s">
        <v>31</v>
      </c>
    </row>
    <row r="7" spans="1:31" s="8" customFormat="1" ht="21.75" customHeight="1" x14ac:dyDescent="0.35">
      <c r="A7" s="12" t="s">
        <v>265</v>
      </c>
      <c r="B7" s="13" t="s">
        <v>270</v>
      </c>
      <c r="C7" s="14" t="s">
        <v>112</v>
      </c>
      <c r="D7" s="14" t="s">
        <v>112</v>
      </c>
      <c r="E7" s="14" t="s">
        <v>112</v>
      </c>
      <c r="F7" s="14" t="s">
        <v>112</v>
      </c>
      <c r="G7" s="44" t="s">
        <v>112</v>
      </c>
      <c r="H7" s="40">
        <v>3.7330779939267922E-2</v>
      </c>
      <c r="I7" s="59">
        <v>5.9631352886558936E-2</v>
      </c>
      <c r="J7" s="40">
        <v>0.13776284864493857</v>
      </c>
      <c r="K7" s="44">
        <v>0.62602604388810335</v>
      </c>
      <c r="L7" s="14">
        <v>3.7192205195960115E-2</v>
      </c>
      <c r="M7" s="14">
        <v>5.9702306411124006E-2</v>
      </c>
      <c r="N7" s="14">
        <v>0.13776284864493857</v>
      </c>
      <c r="O7" s="44">
        <v>0.62296094458806861</v>
      </c>
      <c r="P7" s="14">
        <v>7.6223864184663315E-2</v>
      </c>
      <c r="Q7" s="14">
        <v>5.9234712026874865E-2</v>
      </c>
      <c r="R7" s="14">
        <v>0.10318516546890245</v>
      </c>
      <c r="S7" s="44">
        <v>1.2868107495834613</v>
      </c>
      <c r="T7" s="14">
        <v>7.6451564177347553E-2</v>
      </c>
      <c r="U7" s="14">
        <v>7.1443883513555642E-2</v>
      </c>
      <c r="V7" s="14">
        <v>0.10318516546890245</v>
      </c>
      <c r="W7" s="44">
        <v>1.0700925036198761</v>
      </c>
      <c r="X7" s="31">
        <v>46022</v>
      </c>
      <c r="Y7" s="33">
        <v>8</v>
      </c>
      <c r="Z7" s="33" t="s">
        <v>32</v>
      </c>
      <c r="AA7" s="33" t="s">
        <v>32</v>
      </c>
      <c r="AB7" s="33" t="s">
        <v>32</v>
      </c>
      <c r="AC7" s="33" t="s">
        <v>32</v>
      </c>
      <c r="AD7" s="47" t="s">
        <v>32</v>
      </c>
      <c r="AE7" s="47" t="s">
        <v>33</v>
      </c>
    </row>
    <row r="8" spans="1:31" s="8" customFormat="1" ht="21.75" customHeight="1" x14ac:dyDescent="0.35">
      <c r="A8" s="12" t="s">
        <v>34</v>
      </c>
      <c r="B8" s="13" t="s">
        <v>175</v>
      </c>
      <c r="C8" s="21">
        <v>4.8200682941405892E-2</v>
      </c>
      <c r="D8" s="21">
        <v>1.3336078485788683</v>
      </c>
      <c r="E8" s="21">
        <v>0.12589454206601453</v>
      </c>
      <c r="F8" s="21">
        <v>0.31606858183953052</v>
      </c>
      <c r="G8" s="41">
        <v>0.38286554881887735</v>
      </c>
      <c r="H8" s="21">
        <v>5.2566780303459515E-2</v>
      </c>
      <c r="I8" s="43">
        <v>0.10371006544046195</v>
      </c>
      <c r="J8" s="21">
        <v>0.24364970857020027</v>
      </c>
      <c r="K8" s="41">
        <v>0.5068628592625577</v>
      </c>
      <c r="L8" s="21">
        <v>7.1392287940909682E-2</v>
      </c>
      <c r="M8" s="21">
        <v>9.7003078435936071E-2</v>
      </c>
      <c r="N8" s="21">
        <v>0.20573804573807511</v>
      </c>
      <c r="O8" s="41">
        <v>0.73597961108068777</v>
      </c>
      <c r="P8" s="21">
        <v>0.13670336072149891</v>
      </c>
      <c r="Q8" s="21">
        <v>8.5200130502417759E-2</v>
      </c>
      <c r="R8" s="21">
        <v>8.7370365108717249E-2</v>
      </c>
      <c r="S8" s="41">
        <v>1.6044970813468369</v>
      </c>
      <c r="T8" s="21">
        <v>0.17297762743955247</v>
      </c>
      <c r="U8" s="21">
        <v>8.5481019358559895E-2</v>
      </c>
      <c r="V8" s="21">
        <v>8.7370365108717249E-2</v>
      </c>
      <c r="W8" s="41">
        <v>2.0235793716260924</v>
      </c>
      <c r="X8" s="31">
        <v>42005</v>
      </c>
      <c r="Y8" s="33">
        <v>8</v>
      </c>
      <c r="Z8" s="33" t="s">
        <v>114</v>
      </c>
      <c r="AA8" s="33" t="s">
        <v>112</v>
      </c>
      <c r="AB8" s="33" t="s">
        <v>114</v>
      </c>
      <c r="AC8" s="33" t="s">
        <v>114</v>
      </c>
      <c r="AD8" s="47" t="s">
        <v>112</v>
      </c>
      <c r="AE8" s="47" t="s">
        <v>37</v>
      </c>
    </row>
    <row r="9" spans="1:31" s="8" customFormat="1" ht="21.75" customHeight="1" x14ac:dyDescent="0.35">
      <c r="A9" s="12" t="s">
        <v>138</v>
      </c>
      <c r="B9" s="13" t="s">
        <v>176</v>
      </c>
      <c r="C9" s="14">
        <v>3.2225223277703385E-2</v>
      </c>
      <c r="D9" s="14">
        <v>0.76994294128474139</v>
      </c>
      <c r="E9" s="14">
        <v>0.17249274470701628</v>
      </c>
      <c r="F9" s="14">
        <v>0.4866556230443585</v>
      </c>
      <c r="G9" s="44">
        <v>0.18682074618523128</v>
      </c>
      <c r="H9" s="40">
        <v>5.764356356731648E-2</v>
      </c>
      <c r="I9" s="43">
        <v>0.14359965489342383</v>
      </c>
      <c r="J9" s="40">
        <v>0.32111529303325909</v>
      </c>
      <c r="K9" s="44">
        <v>0.40141853829731089</v>
      </c>
      <c r="L9" s="14">
        <v>9.3347150094275078E-2</v>
      </c>
      <c r="M9" s="14">
        <v>0.12220757566814043</v>
      </c>
      <c r="N9" s="14">
        <v>0.20663904938406191</v>
      </c>
      <c r="O9" s="44">
        <v>0.76384094507989431</v>
      </c>
      <c r="P9" s="14">
        <v>0.15438186261052</v>
      </c>
      <c r="Q9" s="14">
        <v>0.10591822602971859</v>
      </c>
      <c r="R9" s="14">
        <v>0.15111265949571048</v>
      </c>
      <c r="S9" s="44">
        <v>1.45755710228005</v>
      </c>
      <c r="T9" s="14">
        <v>0.13180121657117705</v>
      </c>
      <c r="U9" s="14">
        <v>0.12529662316734336</v>
      </c>
      <c r="V9" s="14">
        <v>0.15111265949571048</v>
      </c>
      <c r="W9" s="44">
        <v>1.0519135571207399</v>
      </c>
      <c r="X9" s="31">
        <v>45657</v>
      </c>
      <c r="Y9" s="33">
        <v>8</v>
      </c>
      <c r="Z9" s="33" t="s">
        <v>114</v>
      </c>
      <c r="AA9" s="33" t="s">
        <v>114</v>
      </c>
      <c r="AB9" s="33" t="s">
        <v>114</v>
      </c>
      <c r="AC9" s="33" t="s">
        <v>114</v>
      </c>
      <c r="AD9" s="47" t="s">
        <v>114</v>
      </c>
      <c r="AE9" s="47" t="s">
        <v>31</v>
      </c>
    </row>
    <row r="10" spans="1:31" s="8" customFormat="1" ht="21.75" customHeight="1" x14ac:dyDescent="0.35">
      <c r="A10" s="12" t="s">
        <v>35</v>
      </c>
      <c r="B10" s="13" t="s">
        <v>177</v>
      </c>
      <c r="C10" s="14">
        <v>5.5201464832871139E-2</v>
      </c>
      <c r="D10" s="14">
        <v>1.6306852035749753</v>
      </c>
      <c r="E10" s="14">
        <v>0.10650352591807224</v>
      </c>
      <c r="F10" s="14">
        <v>0.18917576961271099</v>
      </c>
      <c r="G10" s="44">
        <v>0.51830645377257112</v>
      </c>
      <c r="H10" s="40">
        <v>5.0954343944269453E-2</v>
      </c>
      <c r="I10" s="43">
        <v>9.702651593142847E-2</v>
      </c>
      <c r="J10" s="40">
        <v>0.17988583854308224</v>
      </c>
      <c r="K10" s="44">
        <v>0.52515895737491392</v>
      </c>
      <c r="L10" s="14">
        <v>7.4597835288373382E-2</v>
      </c>
      <c r="M10" s="14">
        <v>9.765622931291075E-2</v>
      </c>
      <c r="N10" s="14">
        <v>0.16975695896649473</v>
      </c>
      <c r="O10" s="44">
        <v>0.76388199517049238</v>
      </c>
      <c r="P10" s="14">
        <v>0.12973460454025965</v>
      </c>
      <c r="Q10" s="14">
        <v>9.759580077979163E-2</v>
      </c>
      <c r="R10" s="14">
        <v>0.1540383960013631</v>
      </c>
      <c r="S10" s="44">
        <v>1.3293051904249833</v>
      </c>
      <c r="T10" s="14">
        <v>7.0047161365433208E-2</v>
      </c>
      <c r="U10" s="14">
        <v>0.10844783319102572</v>
      </c>
      <c r="V10" s="14">
        <v>0.1540383960013631</v>
      </c>
      <c r="W10" s="44">
        <v>0.64590650918814074</v>
      </c>
      <c r="X10" s="31">
        <v>42005</v>
      </c>
      <c r="Y10" s="33">
        <v>8</v>
      </c>
      <c r="Z10" s="33" t="s">
        <v>113</v>
      </c>
      <c r="AA10" s="33" t="s">
        <v>114</v>
      </c>
      <c r="AB10" s="33" t="s">
        <v>114</v>
      </c>
      <c r="AC10" s="33" t="s">
        <v>114</v>
      </c>
      <c r="AD10" s="47" t="s">
        <v>114</v>
      </c>
      <c r="AE10" s="47" t="s">
        <v>33</v>
      </c>
    </row>
    <row r="11" spans="1:31" s="8" customFormat="1" ht="21.75" customHeight="1" x14ac:dyDescent="0.35">
      <c r="A11" s="12" t="s">
        <v>156</v>
      </c>
      <c r="B11" s="13" t="s">
        <v>178</v>
      </c>
      <c r="C11" s="14" t="s">
        <v>112</v>
      </c>
      <c r="D11" s="14" t="s">
        <v>112</v>
      </c>
      <c r="E11" s="14" t="s">
        <v>112</v>
      </c>
      <c r="F11" s="14" t="s">
        <v>112</v>
      </c>
      <c r="G11" s="44" t="s">
        <v>112</v>
      </c>
      <c r="H11" s="40">
        <v>4.6157222695580868E-2</v>
      </c>
      <c r="I11" s="43">
        <v>9.6147912433695235E-2</v>
      </c>
      <c r="J11" s="40">
        <v>0.1805840568271507</v>
      </c>
      <c r="K11" s="44">
        <v>0.48006474116025605</v>
      </c>
      <c r="L11" s="14">
        <v>6.9925530075328535E-2</v>
      </c>
      <c r="M11" s="14">
        <v>9.5402385732130279E-2</v>
      </c>
      <c r="N11" s="14">
        <v>0.17153985482574996</v>
      </c>
      <c r="O11" s="44">
        <v>0.73295368390120386</v>
      </c>
      <c r="P11" s="14">
        <v>0.12463316229097465</v>
      </c>
      <c r="Q11" s="14">
        <v>9.4164637706580484E-2</v>
      </c>
      <c r="R11" s="14">
        <v>0.14541625147205359</v>
      </c>
      <c r="S11" s="44">
        <v>1.3235665248278754</v>
      </c>
      <c r="T11" s="14">
        <v>7.1714715292276354E-2</v>
      </c>
      <c r="U11" s="14">
        <v>0.10353161891362965</v>
      </c>
      <c r="V11" s="14">
        <v>0.14541625147205359</v>
      </c>
      <c r="W11" s="44">
        <v>0.69268418715739133</v>
      </c>
      <c r="X11" s="31" t="s">
        <v>112</v>
      </c>
      <c r="Y11" s="33">
        <v>6</v>
      </c>
      <c r="Z11" s="33" t="s">
        <v>32</v>
      </c>
      <c r="AA11" s="33" t="s">
        <v>32</v>
      </c>
      <c r="AB11" s="33" t="s">
        <v>32</v>
      </c>
      <c r="AC11" s="33" t="s">
        <v>32</v>
      </c>
      <c r="AD11" s="47" t="s">
        <v>32</v>
      </c>
      <c r="AE11" s="47" t="s">
        <v>31</v>
      </c>
    </row>
    <row r="12" spans="1:31" s="8" customFormat="1" ht="21.75" customHeight="1" x14ac:dyDescent="0.35">
      <c r="A12" s="12" t="s">
        <v>48</v>
      </c>
      <c r="B12" s="13" t="s">
        <v>179</v>
      </c>
      <c r="C12" s="14" t="s">
        <v>112</v>
      </c>
      <c r="D12" s="14" t="s">
        <v>112</v>
      </c>
      <c r="E12" s="14" t="s">
        <v>112</v>
      </c>
      <c r="F12" s="14" t="s">
        <v>112</v>
      </c>
      <c r="G12" s="44" t="s">
        <v>112</v>
      </c>
      <c r="H12" s="40">
        <v>1.8394142036636696E-2</v>
      </c>
      <c r="I12" s="43">
        <v>4.7694955640185242E-2</v>
      </c>
      <c r="J12" s="40">
        <v>0.20594965675057203</v>
      </c>
      <c r="K12" s="44">
        <v>0.38566221080911889</v>
      </c>
      <c r="L12" s="14">
        <v>3.2277578196771017E-3</v>
      </c>
      <c r="M12" s="14">
        <v>4.5761939734499935E-2</v>
      </c>
      <c r="N12" s="14">
        <v>0.20594965675057203</v>
      </c>
      <c r="O12" s="44">
        <v>7.0533675766451281E-2</v>
      </c>
      <c r="P12" s="14">
        <v>4.9384889201522508E-2</v>
      </c>
      <c r="Q12" s="14">
        <v>4.2068033154148123E-2</v>
      </c>
      <c r="R12" s="14">
        <v>8.0419580419580416E-2</v>
      </c>
      <c r="S12" s="44">
        <v>1.1739291214439129</v>
      </c>
      <c r="T12" s="14">
        <v>8.7692593622442638E-2</v>
      </c>
      <c r="U12" s="14">
        <v>5.3061785232929121E-2</v>
      </c>
      <c r="V12" s="14">
        <v>5.0928294940836727E-2</v>
      </c>
      <c r="W12" s="44">
        <v>1.6526506456104366</v>
      </c>
      <c r="X12" s="31">
        <v>43830</v>
      </c>
      <c r="Y12" s="33">
        <v>8</v>
      </c>
      <c r="Z12" s="33" t="s">
        <v>114</v>
      </c>
      <c r="AA12" s="33" t="s">
        <v>112</v>
      </c>
      <c r="AB12" s="33" t="s">
        <v>114</v>
      </c>
      <c r="AC12" s="33" t="s">
        <v>114</v>
      </c>
      <c r="AD12" s="47" t="s">
        <v>112</v>
      </c>
      <c r="AE12" s="47" t="s">
        <v>33</v>
      </c>
    </row>
    <row r="13" spans="1:31" s="8" customFormat="1" ht="21.75" customHeight="1" x14ac:dyDescent="0.35">
      <c r="A13" s="12" t="s">
        <v>75</v>
      </c>
      <c r="B13" s="13" t="s">
        <v>180</v>
      </c>
      <c r="C13" s="14">
        <v>5.6527339254414555E-2</v>
      </c>
      <c r="D13" s="14">
        <v>1.690828402366864</v>
      </c>
      <c r="E13" s="14">
        <v>0.12242906182882449</v>
      </c>
      <c r="F13" s="14">
        <v>0.24046920821114376</v>
      </c>
      <c r="G13" s="44">
        <v>0.46171504061224339</v>
      </c>
      <c r="H13" s="40">
        <v>4.1088186619198552E-2</v>
      </c>
      <c r="I13" s="43">
        <v>0.1214729828657445</v>
      </c>
      <c r="J13" s="40">
        <v>0.23989218328840975</v>
      </c>
      <c r="K13" s="44">
        <v>0.33824958974301655</v>
      </c>
      <c r="L13" s="14">
        <v>6.5114030448919724E-2</v>
      </c>
      <c r="M13" s="14">
        <v>0.11468468445069634</v>
      </c>
      <c r="N13" s="14">
        <v>0.19002525252525251</v>
      </c>
      <c r="O13" s="44">
        <v>0.56776570263758852</v>
      </c>
      <c r="P13" s="14">
        <v>0.12191739037832483</v>
      </c>
      <c r="Q13" s="14">
        <v>0.11516487159474248</v>
      </c>
      <c r="R13" s="14">
        <v>0.18725974739154311</v>
      </c>
      <c r="S13" s="44">
        <v>1.0586334937909192</v>
      </c>
      <c r="T13" s="14">
        <v>4.2436530363885616E-2</v>
      </c>
      <c r="U13" s="14">
        <v>0.14735396141931356</v>
      </c>
      <c r="V13" s="14">
        <v>0.18725974739154311</v>
      </c>
      <c r="W13" s="44">
        <v>0.28799042764196425</v>
      </c>
      <c r="X13" s="31">
        <v>42005</v>
      </c>
      <c r="Y13" s="33">
        <v>6</v>
      </c>
      <c r="Z13" s="33" t="s">
        <v>114</v>
      </c>
      <c r="AA13" s="33" t="s">
        <v>114</v>
      </c>
      <c r="AB13" s="33" t="s">
        <v>114</v>
      </c>
      <c r="AC13" s="33" t="s">
        <v>114</v>
      </c>
      <c r="AD13" s="47" t="s">
        <v>114</v>
      </c>
      <c r="AE13" s="47" t="s">
        <v>33</v>
      </c>
    </row>
    <row r="14" spans="1:31" s="8" customFormat="1" ht="21.75" customHeight="1" x14ac:dyDescent="0.35">
      <c r="A14" s="12" t="s">
        <v>49</v>
      </c>
      <c r="B14" s="13" t="s">
        <v>181</v>
      </c>
      <c r="C14" s="14">
        <v>4.6741068738629377E-2</v>
      </c>
      <c r="D14" s="14">
        <v>1.2757990416440248</v>
      </c>
      <c r="E14" s="14">
        <v>8.3832730728933616E-2</v>
      </c>
      <c r="F14" s="14">
        <v>0.22508022710441866</v>
      </c>
      <c r="G14" s="44">
        <v>0.55755154737548585</v>
      </c>
      <c r="H14" s="40">
        <v>4.1068207814048963E-2</v>
      </c>
      <c r="I14" s="43">
        <v>8.2656477351701174E-2</v>
      </c>
      <c r="J14" s="40">
        <v>0.19579912460179746</v>
      </c>
      <c r="K14" s="44">
        <v>0.49685407762182748</v>
      </c>
      <c r="L14" s="14">
        <v>3.8013771827064557E-2</v>
      </c>
      <c r="M14" s="14">
        <v>7.8310511568581209E-2</v>
      </c>
      <c r="N14" s="14">
        <v>0.16978578964267688</v>
      </c>
      <c r="O14" s="44">
        <v>0.48542361766815456</v>
      </c>
      <c r="P14" s="14">
        <v>8.2512839687140405E-2</v>
      </c>
      <c r="Q14" s="14">
        <v>7.248047748104075E-2</v>
      </c>
      <c r="R14" s="14">
        <v>0.11996503114413722</v>
      </c>
      <c r="S14" s="44">
        <v>1.1384146815081881</v>
      </c>
      <c r="T14" s="14">
        <v>3.1895131441515678E-2</v>
      </c>
      <c r="U14" s="14">
        <v>8.2786752638287761E-2</v>
      </c>
      <c r="V14" s="14">
        <v>0.11996503114413722</v>
      </c>
      <c r="W14" s="44">
        <v>0.38526854146426087</v>
      </c>
      <c r="X14" s="31">
        <v>43465</v>
      </c>
      <c r="Y14" s="33">
        <v>8</v>
      </c>
      <c r="Z14" s="33" t="s">
        <v>113</v>
      </c>
      <c r="AA14" s="33" t="s">
        <v>112</v>
      </c>
      <c r="AB14" s="33" t="s">
        <v>114</v>
      </c>
      <c r="AC14" s="33" t="s">
        <v>114</v>
      </c>
      <c r="AD14" s="47" t="s">
        <v>112</v>
      </c>
      <c r="AE14" s="47" t="s">
        <v>33</v>
      </c>
    </row>
    <row r="15" spans="1:31" s="8" customFormat="1" ht="21.75" customHeight="1" x14ac:dyDescent="0.35">
      <c r="A15" s="12" t="s">
        <v>57</v>
      </c>
      <c r="B15" s="13" t="s">
        <v>183</v>
      </c>
      <c r="C15" s="14">
        <v>1.4717387467757304E-2</v>
      </c>
      <c r="D15" s="14">
        <v>0.3008299441535025</v>
      </c>
      <c r="E15" s="14">
        <v>3.9149520796585985E-2</v>
      </c>
      <c r="F15" s="14">
        <v>0.18776361823235274</v>
      </c>
      <c r="G15" s="44">
        <v>0.37592765296480274</v>
      </c>
      <c r="H15" s="40">
        <v>9.5940545063164517E-3</v>
      </c>
      <c r="I15" s="43">
        <v>3.6640476364589322E-2</v>
      </c>
      <c r="J15" s="40">
        <v>0.18776361823235274</v>
      </c>
      <c r="K15" s="44">
        <v>0.26184306150529452</v>
      </c>
      <c r="L15" s="14">
        <v>1.6901785918496115E-2</v>
      </c>
      <c r="M15" s="14">
        <v>2.9619367777325038E-2</v>
      </c>
      <c r="N15" s="14">
        <v>0.12487477459427036</v>
      </c>
      <c r="O15" s="44">
        <v>0.57063290633215991</v>
      </c>
      <c r="P15" s="14">
        <v>4.5226785183142493E-2</v>
      </c>
      <c r="Q15" s="14">
        <v>1.7955134951348227E-2</v>
      </c>
      <c r="R15" s="14">
        <v>1.9478401802567848E-2</v>
      </c>
      <c r="S15" s="44">
        <v>2.5188774857827774</v>
      </c>
      <c r="T15" s="14">
        <v>3.06330171721656E-2</v>
      </c>
      <c r="U15" s="14">
        <v>1.865342468714851E-2</v>
      </c>
      <c r="V15" s="14">
        <v>1.9478401802567848E-2</v>
      </c>
      <c r="W15" s="44">
        <v>1.6422194683247933</v>
      </c>
      <c r="X15" s="31">
        <v>43281</v>
      </c>
      <c r="Y15" s="33">
        <v>8</v>
      </c>
      <c r="Z15" s="33" t="s">
        <v>114</v>
      </c>
      <c r="AA15" s="33" t="s">
        <v>112</v>
      </c>
      <c r="AB15" s="33" t="s">
        <v>114</v>
      </c>
      <c r="AC15" s="33" t="s">
        <v>114</v>
      </c>
      <c r="AD15" s="47" t="s">
        <v>112</v>
      </c>
      <c r="AE15" s="47" t="s">
        <v>33</v>
      </c>
    </row>
    <row r="16" spans="1:31" s="8" customFormat="1" ht="21.75" customHeight="1" x14ac:dyDescent="0.35">
      <c r="A16" s="12" t="s">
        <v>58</v>
      </c>
      <c r="B16" s="13" t="s">
        <v>182</v>
      </c>
      <c r="C16" s="14">
        <v>5.3543267727879984E-2</v>
      </c>
      <c r="D16" s="14">
        <v>1.5572535015042814</v>
      </c>
      <c r="E16" s="14">
        <v>9.8427471908140704E-2</v>
      </c>
      <c r="F16" s="14">
        <v>0.30298237686398549</v>
      </c>
      <c r="G16" s="44">
        <v>0.5439870260799774</v>
      </c>
      <c r="H16" s="40">
        <v>5.6553099412361751E-2</v>
      </c>
      <c r="I16" s="43">
        <v>9.905907010733872E-2</v>
      </c>
      <c r="J16" s="40">
        <v>0.26258551045087969</v>
      </c>
      <c r="K16" s="44">
        <v>0.57090278912452719</v>
      </c>
      <c r="L16" s="14">
        <v>6.0216072872158355E-2</v>
      </c>
      <c r="M16" s="14">
        <v>6.387404619523368E-2</v>
      </c>
      <c r="N16" s="14">
        <v>8.861093269328281E-2</v>
      </c>
      <c r="O16" s="44">
        <v>0.94273146072671554</v>
      </c>
      <c r="P16" s="14">
        <v>4.712554547230452E-2</v>
      </c>
      <c r="Q16" s="14">
        <v>5.4510911921718176E-2</v>
      </c>
      <c r="R16" s="14">
        <v>8.861093269328281E-2</v>
      </c>
      <c r="S16" s="44">
        <v>0.86451581547526479</v>
      </c>
      <c r="T16" s="14">
        <v>4.8489197345778834E-2</v>
      </c>
      <c r="U16" s="14">
        <v>5.9312961995389268E-2</v>
      </c>
      <c r="V16" s="14">
        <v>8.861093269328281E-2</v>
      </c>
      <c r="W16" s="44">
        <v>0.81751434618200614</v>
      </c>
      <c r="X16" s="31">
        <v>45107</v>
      </c>
      <c r="Y16" s="33">
        <v>8</v>
      </c>
      <c r="Z16" s="33" t="s">
        <v>113</v>
      </c>
      <c r="AA16" s="33" t="s">
        <v>112</v>
      </c>
      <c r="AB16" s="33" t="s">
        <v>114</v>
      </c>
      <c r="AC16" s="33" t="s">
        <v>114</v>
      </c>
      <c r="AD16" s="47" t="s">
        <v>112</v>
      </c>
      <c r="AE16" s="47" t="s">
        <v>33</v>
      </c>
    </row>
    <row r="17" spans="1:31" s="8" customFormat="1" ht="21.75" customHeight="1" x14ac:dyDescent="0.35">
      <c r="A17" s="12" t="s">
        <v>50</v>
      </c>
      <c r="B17" s="13" t="s">
        <v>184</v>
      </c>
      <c r="C17" s="14">
        <v>4.5766680782484581E-2</v>
      </c>
      <c r="D17" s="14">
        <v>1.2379635883905014</v>
      </c>
      <c r="E17" s="14">
        <v>7.5214633258437247E-2</v>
      </c>
      <c r="F17" s="14">
        <v>0.24010554089709757</v>
      </c>
      <c r="G17" s="44">
        <v>0.60848107342663504</v>
      </c>
      <c r="H17" s="40">
        <v>4.3547694615221122E-2</v>
      </c>
      <c r="I17" s="43">
        <v>7.2250684626761749E-2</v>
      </c>
      <c r="J17" s="40">
        <v>0.20372914743833631</v>
      </c>
      <c r="K17" s="44">
        <v>0.60273054629424228</v>
      </c>
      <c r="L17" s="14">
        <v>4.6961649292435403E-2</v>
      </c>
      <c r="M17" s="14">
        <v>6.3622765693365613E-2</v>
      </c>
      <c r="N17" s="14">
        <v>0.13983000555959271</v>
      </c>
      <c r="O17" s="44">
        <v>0.73812649891346083</v>
      </c>
      <c r="P17" s="14">
        <v>7.7329541735843943E-2</v>
      </c>
      <c r="Q17" s="14">
        <v>5.5139947845674588E-2</v>
      </c>
      <c r="R17" s="14">
        <v>8.7218658172628499E-2</v>
      </c>
      <c r="S17" s="44">
        <v>1.4024231932948772</v>
      </c>
      <c r="T17" s="14">
        <v>6.0703359530320578E-2</v>
      </c>
      <c r="U17" s="14">
        <v>6.1411062730758754E-2</v>
      </c>
      <c r="V17" s="14">
        <v>8.7218658172628499E-2</v>
      </c>
      <c r="W17" s="44">
        <v>0.98847596558390594</v>
      </c>
      <c r="X17" s="31">
        <v>42370</v>
      </c>
      <c r="Y17" s="33">
        <v>8</v>
      </c>
      <c r="Z17" s="33" t="s">
        <v>32</v>
      </c>
      <c r="AA17" s="33" t="s">
        <v>32</v>
      </c>
      <c r="AB17" s="33" t="s">
        <v>32</v>
      </c>
      <c r="AC17" s="33" t="s">
        <v>32</v>
      </c>
      <c r="AD17" s="47" t="s">
        <v>32</v>
      </c>
      <c r="AE17" s="47" t="s">
        <v>31</v>
      </c>
    </row>
    <row r="18" spans="1:31" s="1" customFormat="1" ht="21.75" customHeight="1" x14ac:dyDescent="0.35">
      <c r="A18" s="12" t="s">
        <v>59</v>
      </c>
      <c r="B18" s="13" t="s">
        <v>185</v>
      </c>
      <c r="C18" s="14" t="s">
        <v>112</v>
      </c>
      <c r="D18" s="14" t="s">
        <v>112</v>
      </c>
      <c r="E18" s="14" t="s">
        <v>112</v>
      </c>
      <c r="F18" s="14" t="s">
        <v>112</v>
      </c>
      <c r="G18" s="44" t="s">
        <v>112</v>
      </c>
      <c r="H18" s="40">
        <v>3.1108244270996455E-2</v>
      </c>
      <c r="I18" s="43">
        <v>4.4586218902317058E-2</v>
      </c>
      <c r="J18" s="40">
        <v>0.13795057007294104</v>
      </c>
      <c r="K18" s="44">
        <v>0.69770985378129524</v>
      </c>
      <c r="L18" s="14">
        <v>3.1312468052101305E-2</v>
      </c>
      <c r="M18" s="14">
        <v>4.8059502622496107E-2</v>
      </c>
      <c r="N18" s="14">
        <v>0.13795057007294104</v>
      </c>
      <c r="O18" s="44">
        <v>0.6515354163787016</v>
      </c>
      <c r="P18" s="14">
        <v>8.1913848544036494E-2</v>
      </c>
      <c r="Q18" s="14">
        <v>4.7848814646350372E-2</v>
      </c>
      <c r="R18" s="14">
        <v>5.0346759135769609E-2</v>
      </c>
      <c r="S18" s="44">
        <v>1.7119305702651173</v>
      </c>
      <c r="T18" s="14">
        <v>7.0318578388609776E-2</v>
      </c>
      <c r="U18" s="14">
        <v>4.3859404210743316E-2</v>
      </c>
      <c r="V18" s="14">
        <v>5.0346759135769609E-2</v>
      </c>
      <c r="W18" s="44">
        <v>1.6032725399262335</v>
      </c>
      <c r="X18" s="31">
        <v>43830</v>
      </c>
      <c r="Y18" s="33">
        <v>8</v>
      </c>
      <c r="Z18" s="33" t="s">
        <v>114</v>
      </c>
      <c r="AA18" s="33" t="s">
        <v>114</v>
      </c>
      <c r="AB18" s="33" t="s">
        <v>114</v>
      </c>
      <c r="AC18" s="33" t="s">
        <v>114</v>
      </c>
      <c r="AD18" s="47" t="s">
        <v>114</v>
      </c>
      <c r="AE18" s="47" t="s">
        <v>33</v>
      </c>
    </row>
    <row r="19" spans="1:31" ht="21.75" customHeight="1" x14ac:dyDescent="0.35">
      <c r="A19" s="12" t="s">
        <v>157</v>
      </c>
      <c r="B19" s="13" t="s">
        <v>186</v>
      </c>
      <c r="C19" s="14">
        <v>4.1598617373767244E-2</v>
      </c>
      <c r="D19" s="14">
        <v>1.0827221499314015</v>
      </c>
      <c r="E19" s="14">
        <v>0.12919264636538733</v>
      </c>
      <c r="F19" s="14">
        <v>0.31000448631673388</v>
      </c>
      <c r="G19" s="44">
        <v>0.32198904925375182</v>
      </c>
      <c r="H19" s="40">
        <v>4.8502619982038198E-2</v>
      </c>
      <c r="I19" s="43">
        <v>9.3524169222807679E-2</v>
      </c>
      <c r="J19" s="40">
        <v>0.27791250363759801</v>
      </c>
      <c r="K19" s="44">
        <v>0.51861054083771418</v>
      </c>
      <c r="L19" s="14">
        <v>7.084968262437874E-2</v>
      </c>
      <c r="M19" s="14">
        <v>8.608903875761402E-2</v>
      </c>
      <c r="N19" s="14">
        <v>0.16368719816995769</v>
      </c>
      <c r="O19" s="44">
        <v>0.82298145788173926</v>
      </c>
      <c r="P19" s="14">
        <v>0.10787598530193954</v>
      </c>
      <c r="Q19" s="14">
        <v>6.8957514631003858E-2</v>
      </c>
      <c r="R19" s="14">
        <v>0.11557714958774995</v>
      </c>
      <c r="S19" s="44">
        <v>1.5643833145552148</v>
      </c>
      <c r="T19" s="14">
        <v>0.11274761840670178</v>
      </c>
      <c r="U19" s="14">
        <v>8.1076908714584853E-2</v>
      </c>
      <c r="V19" s="14">
        <v>0.11557714958774995</v>
      </c>
      <c r="W19" s="44">
        <v>1.3906255208077476</v>
      </c>
      <c r="X19" s="31" t="s">
        <v>112</v>
      </c>
      <c r="Y19" s="33">
        <v>8</v>
      </c>
      <c r="Z19" s="33" t="s">
        <v>114</v>
      </c>
      <c r="AA19" s="33" t="s">
        <v>114</v>
      </c>
      <c r="AB19" s="33" t="s">
        <v>114</v>
      </c>
      <c r="AC19" s="33" t="s">
        <v>114</v>
      </c>
      <c r="AD19" s="47" t="s">
        <v>114</v>
      </c>
      <c r="AE19" s="47" t="s">
        <v>105</v>
      </c>
    </row>
    <row r="20" spans="1:31" x14ac:dyDescent="0.35">
      <c r="A20" s="12"/>
      <c r="B20" s="13"/>
      <c r="C20" s="21"/>
      <c r="D20" s="21"/>
      <c r="E20" s="21"/>
      <c r="F20" s="21"/>
      <c r="G20" s="24"/>
      <c r="H20" s="21"/>
      <c r="I20" s="21"/>
      <c r="J20" s="21"/>
      <c r="K20" s="24"/>
      <c r="L20" s="21"/>
      <c r="M20" s="21"/>
      <c r="N20" s="21"/>
      <c r="O20" s="24"/>
      <c r="P20" s="21"/>
      <c r="Q20" s="21"/>
      <c r="R20" s="21"/>
      <c r="S20" s="24"/>
      <c r="T20" s="21"/>
      <c r="U20" s="21"/>
      <c r="V20" s="21"/>
      <c r="W20" s="24"/>
      <c r="X20" s="16"/>
      <c r="Y20" s="28"/>
      <c r="Z20" s="15"/>
      <c r="AA20" s="15"/>
      <c r="AB20" s="15"/>
      <c r="AC20" s="15"/>
      <c r="AD20" s="8"/>
      <c r="AE20" s="8"/>
    </row>
    <row r="21" spans="1:31" x14ac:dyDescent="0.35">
      <c r="A21" s="36" t="s">
        <v>2</v>
      </c>
      <c r="B21" s="36" t="s">
        <v>3</v>
      </c>
      <c r="C21" s="37">
        <f>AVERAGE(Table916[Performance annualisée depuis 01/08])</f>
        <v>4.3654177030370042E-2</v>
      </c>
      <c r="D21" s="37">
        <f>AVERAGE(Table916[Perf. Totale depuis 01/08])</f>
        <v>1.2032639430466925</v>
      </c>
      <c r="E21" s="37">
        <f>AVERAGE(Table916[Volatilité annualisée depuis 01/08])</f>
        <v>0.1061889277686435</v>
      </c>
      <c r="F21" s="37">
        <f>AVERAGE(Table916[Max Drawdown depuis 01/08])</f>
        <v>0.27898792762363678</v>
      </c>
      <c r="G21" s="42">
        <f>AVERAGE(Table916[Couple Rendement / Risque depuis 01/08])</f>
        <v>0.43071224273836006</v>
      </c>
      <c r="H21" s="37">
        <f>AVERAGE(Table916[Performance annualisée 10 ans])</f>
        <v>4.0592536807688331E-2</v>
      </c>
      <c r="I21" s="37">
        <f>AVERAGE(Table916[Volatilité annualisée 10 ans])</f>
        <v>8.4292906261758768E-2</v>
      </c>
      <c r="J21" s="37">
        <f>AVERAGE(Table916[Max Drawdown 10 ans])</f>
        <v>0.21721126049317638</v>
      </c>
      <c r="K21" s="42">
        <f>AVERAGE(Table916[Couple Rendement Risque 10 ans])</f>
        <v>0.48505325187207299</v>
      </c>
      <c r="L21" s="37">
        <f>AVERAGE(Table916[Performance annualisée 5 ans])</f>
        <v>4.9354131543271854E-2</v>
      </c>
      <c r="M21" s="37">
        <f>AVERAGE(Table916[Volatilité annualisée 5 ans])</f>
        <v>7.6163936217636119E-2</v>
      </c>
      <c r="N21" s="37">
        <f>AVERAGE(Table916[Max Drawdown 5 ans])</f>
        <v>0.16773557660258648</v>
      </c>
      <c r="O21" s="42">
        <f>AVERAGE(Table916[Couple Rendement Risque 5 ans])</f>
        <v>0.61633231081291628</v>
      </c>
      <c r="P21" s="37">
        <f>AVERAGE(Table916[Performance annualisée 3 ans])</f>
        <v>9.2781038482517231E-2</v>
      </c>
      <c r="Q21" s="37">
        <f>AVERAGE(Table916[Volatilité annualisée 3 ans])</f>
        <v>6.9495393888577506E-2</v>
      </c>
      <c r="R21" s="37">
        <f>AVERAGE(Table916[Max Drawdown 3 ans])</f>
        <v>0.10515295663492609</v>
      </c>
      <c r="S21" s="42">
        <f>AVERAGE(Table916[Couple Rendement Risque 3 ans])</f>
        <v>1.3869603361763521</v>
      </c>
      <c r="T21" s="37">
        <f>AVERAGE(Table916[Performance annualisée 1 an])</f>
        <v>8.4248226864755485E-2</v>
      </c>
      <c r="U21" s="37">
        <f>AVERAGE(Table916[Volatilité annualisée 1 an])</f>
        <v>7.8493325309634057E-2</v>
      </c>
      <c r="V21" s="37">
        <f>AVERAGE(Table916[Max Drawdown 1 an])</f>
        <v>0.10330975129250461</v>
      </c>
      <c r="W21" s="42">
        <f>AVERAGE(Table916[Couple Rendement Risque 1 an])</f>
        <v>1.1935961269805391</v>
      </c>
      <c r="X21" s="38"/>
      <c r="Y21" s="37"/>
      <c r="Z21" s="37"/>
      <c r="AA21" s="37"/>
      <c r="AB21" s="37"/>
      <c r="AC21" s="37"/>
      <c r="AD21" s="37"/>
      <c r="AE21" s="37"/>
    </row>
    <row r="22" spans="1:31" x14ac:dyDescent="0.35">
      <c r="A22" s="7"/>
      <c r="AD22" s="1"/>
      <c r="AE22" s="1"/>
    </row>
    <row r="23" spans="1:31" x14ac:dyDescent="0.35">
      <c r="E23" s="2"/>
      <c r="F23" s="2"/>
    </row>
    <row r="24" spans="1:31" x14ac:dyDescent="0.35">
      <c r="E24" s="2"/>
      <c r="F24" s="2"/>
    </row>
    <row r="25" spans="1:31" x14ac:dyDescent="0.35">
      <c r="E25" s="2"/>
      <c r="F25" s="2"/>
    </row>
    <row r="26" spans="1:31" x14ac:dyDescent="0.35">
      <c r="E26" s="2"/>
      <c r="F26" s="2"/>
      <c r="AB26" s="6"/>
    </row>
    <row r="27" spans="1:31" x14ac:dyDescent="0.35">
      <c r="E27" s="2"/>
      <c r="F27" s="2"/>
    </row>
    <row r="28" spans="1:31" x14ac:dyDescent="0.35">
      <c r="E28" s="2"/>
      <c r="F28" s="2"/>
    </row>
    <row r="29" spans="1:31" x14ac:dyDescent="0.35">
      <c r="E29" s="2"/>
      <c r="F29" s="2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</sheetData>
  <sheetProtection selectLockedCells="1"/>
  <phoneticPr fontId="23" type="noConversion"/>
  <conditionalFormatting sqref="C4:C20">
    <cfRule type="iconSet" priority="498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0">
    <cfRule type="iconSet" priority="498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20">
    <cfRule type="iconSet" priority="499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0">
    <cfRule type="iconSet" priority="499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0">
    <cfRule type="iconSet" priority="499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9:X29"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20">
    <cfRule type="iconSet" priority="499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9">
    <cfRule type="iconSet" priority="499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20"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0">
    <cfRule type="iconSet" priority="500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9">
    <cfRule type="iconSet" priority="500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20">
    <cfRule type="iconSet" priority="1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0">
    <cfRule type="iconSet" priority="500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0">
    <cfRule type="iconSet" priority="500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0">
    <cfRule type="iconSet" priority="500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9">
    <cfRule type="iconSet" priority="501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20">
    <cfRule type="iconSet" priority="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0">
    <cfRule type="iconSet" priority="501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0">
    <cfRule type="iconSet" priority="501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0">
    <cfRule type="iconSet" priority="50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9">
    <cfRule type="iconSet" priority="501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20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20">
    <cfRule type="iconSet" priority="502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20">
    <cfRule type="iconSet" priority="502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20">
    <cfRule type="iconSet" priority="502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9">
    <cfRule type="iconSet" priority="502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20">
    <cfRule type="iconSet" priority="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>
    <tabColor rgb="FF008000"/>
    <pageSetUpPr fitToPage="1"/>
  </sheetPr>
  <dimension ref="A1:AE54"/>
  <sheetViews>
    <sheetView showGridLines="0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18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5" customHeight="1" x14ac:dyDescent="0.35">
      <c r="A4" s="12" t="s">
        <v>55</v>
      </c>
      <c r="B4" s="13" t="s">
        <v>77</v>
      </c>
      <c r="C4" s="21">
        <v>3.1544459409176051E-2</v>
      </c>
      <c r="D4" s="21">
        <v>0.74904739223624661</v>
      </c>
      <c r="E4" s="21">
        <v>0.18338046888463816</v>
      </c>
      <c r="F4" s="21">
        <v>0.59395094070016674</v>
      </c>
      <c r="G4" s="41">
        <v>0.17201646173682861</v>
      </c>
      <c r="H4" s="21">
        <v>4.9615646068718711E-2</v>
      </c>
      <c r="I4" s="21">
        <v>0.16275658062489631</v>
      </c>
      <c r="J4" s="21">
        <v>0.32482612533614791</v>
      </c>
      <c r="K4" s="41">
        <v>0.30484571424529655</v>
      </c>
      <c r="L4" s="21">
        <v>1.2004134748862194E-2</v>
      </c>
      <c r="M4" s="21">
        <v>0.15295708357526264</v>
      </c>
      <c r="N4" s="21">
        <v>0.26601771467875429</v>
      </c>
      <c r="O4" s="41">
        <v>7.8480410768001801E-2</v>
      </c>
      <c r="P4" s="21">
        <v>3.4584629955235702E-2</v>
      </c>
      <c r="Q4" s="21">
        <v>0.1278950620670895</v>
      </c>
      <c r="R4" s="21">
        <v>0.19447751246753842</v>
      </c>
      <c r="S4" s="41">
        <v>0.27041411447999258</v>
      </c>
      <c r="T4" s="21">
        <v>-8.4603423708095593E-2</v>
      </c>
      <c r="U4" s="21">
        <v>0.13180493925784095</v>
      </c>
      <c r="V4" s="21">
        <v>0.19447751246753842</v>
      </c>
      <c r="W4" s="41">
        <v>-0.64188356054390139</v>
      </c>
      <c r="X4" s="31">
        <v>41640</v>
      </c>
      <c r="Y4" s="33">
        <v>8</v>
      </c>
      <c r="Z4" s="33" t="s">
        <v>114</v>
      </c>
      <c r="AA4" s="33" t="s">
        <v>112</v>
      </c>
      <c r="AB4" s="33" t="s">
        <v>114</v>
      </c>
      <c r="AC4" s="33" t="s">
        <v>114</v>
      </c>
      <c r="AD4" s="33" t="s">
        <v>112</v>
      </c>
      <c r="AE4" s="33" t="s">
        <v>33</v>
      </c>
    </row>
    <row r="5" spans="1:31" s="8" customFormat="1" ht="21.75" customHeight="1" x14ac:dyDescent="0.35">
      <c r="A5" s="12" t="s">
        <v>47</v>
      </c>
      <c r="B5" s="13" t="s">
        <v>78</v>
      </c>
      <c r="C5" s="14">
        <v>7.8682129212477303E-2</v>
      </c>
      <c r="D5" s="14">
        <v>2.9095586788899346</v>
      </c>
      <c r="E5" s="14">
        <v>0.19461268937526904</v>
      </c>
      <c r="F5" s="14">
        <v>0.46899665227335613</v>
      </c>
      <c r="G5" s="44">
        <v>0.40430112478819719</v>
      </c>
      <c r="H5" s="14">
        <v>5.2544338596538287E-2</v>
      </c>
      <c r="I5" s="14">
        <v>0.191754744746154</v>
      </c>
      <c r="J5" s="14">
        <v>0.40350041852830226</v>
      </c>
      <c r="K5" s="44">
        <v>0.27401845344738029</v>
      </c>
      <c r="L5" s="14">
        <v>1.7759666210400482E-2</v>
      </c>
      <c r="M5" s="14">
        <v>0.2053639134662987</v>
      </c>
      <c r="N5" s="14">
        <v>0.40350041852830226</v>
      </c>
      <c r="O5" s="44">
        <v>8.6479001644633818E-2</v>
      </c>
      <c r="P5" s="14">
        <v>5.4526185304856201E-2</v>
      </c>
      <c r="Q5" s="14">
        <v>0.17598740376583674</v>
      </c>
      <c r="R5" s="14">
        <v>0.23715069801857325</v>
      </c>
      <c r="S5" s="44">
        <v>0.30983004543556431</v>
      </c>
      <c r="T5" s="14">
        <v>-4.5907712707740855E-2</v>
      </c>
      <c r="U5" s="14">
        <v>0.20233366656681095</v>
      </c>
      <c r="V5" s="14">
        <v>0.23286293883144682</v>
      </c>
      <c r="W5" s="44">
        <v>-0.22689112240538598</v>
      </c>
      <c r="X5" s="31">
        <v>41640</v>
      </c>
      <c r="Y5" s="33">
        <v>8</v>
      </c>
      <c r="Z5" s="33" t="s">
        <v>114</v>
      </c>
      <c r="AA5" s="33" t="s">
        <v>112</v>
      </c>
      <c r="AB5" s="33" t="s">
        <v>114</v>
      </c>
      <c r="AC5" s="33" t="s">
        <v>114</v>
      </c>
      <c r="AD5" s="33" t="s">
        <v>112</v>
      </c>
      <c r="AE5" s="33" t="s">
        <v>33</v>
      </c>
    </row>
    <row r="6" spans="1:31" s="8" customFormat="1" ht="21.75" customHeight="1" x14ac:dyDescent="0.35">
      <c r="A6" s="12" t="s">
        <v>69</v>
      </c>
      <c r="B6" s="13" t="s">
        <v>187</v>
      </c>
      <c r="C6" s="14">
        <v>4.1288873136046123E-2</v>
      </c>
      <c r="D6" s="14">
        <v>1.0716011914797954</v>
      </c>
      <c r="E6" s="14">
        <v>0.21995044421865503</v>
      </c>
      <c r="F6" s="14">
        <v>0.5906817287697409</v>
      </c>
      <c r="G6" s="44">
        <v>0.18771898043997776</v>
      </c>
      <c r="H6" s="14">
        <v>8.1327879933768443E-2</v>
      </c>
      <c r="I6" s="14">
        <v>0.17487385634145222</v>
      </c>
      <c r="J6" s="14">
        <v>0.37069198236299822</v>
      </c>
      <c r="K6" s="44">
        <v>0.46506597175378023</v>
      </c>
      <c r="L6" s="14">
        <v>0.11957181936045913</v>
      </c>
      <c r="M6" s="14">
        <v>0.16210514106157381</v>
      </c>
      <c r="N6" s="14">
        <v>0.23387825824920908</v>
      </c>
      <c r="O6" s="44">
        <v>0.73761892175301902</v>
      </c>
      <c r="P6" s="14">
        <v>0.16260238161356311</v>
      </c>
      <c r="Q6" s="14">
        <v>0.13782857867769302</v>
      </c>
      <c r="R6" s="14">
        <v>0.15412026726057901</v>
      </c>
      <c r="S6" s="44">
        <v>1.1797435856449097</v>
      </c>
      <c r="T6" s="14">
        <v>0.22385953481078991</v>
      </c>
      <c r="U6" s="14">
        <v>0.16050007307139907</v>
      </c>
      <c r="V6" s="14">
        <v>0.15412026726057901</v>
      </c>
      <c r="W6" s="44">
        <v>1.3947628217664745</v>
      </c>
      <c r="X6" s="31">
        <v>45838</v>
      </c>
      <c r="Y6" s="33">
        <v>8</v>
      </c>
      <c r="Z6" s="33" t="s">
        <v>114</v>
      </c>
      <c r="AA6" s="33" t="s">
        <v>114</v>
      </c>
      <c r="AB6" s="33" t="s">
        <v>114</v>
      </c>
      <c r="AC6" s="33" t="s">
        <v>113</v>
      </c>
      <c r="AD6" s="33" t="s">
        <v>114</v>
      </c>
      <c r="AE6" s="33" t="s">
        <v>31</v>
      </c>
    </row>
    <row r="7" spans="1:31" s="8" customFormat="1" ht="21.75" customHeight="1" x14ac:dyDescent="0.35">
      <c r="A7" s="12" t="s">
        <v>250</v>
      </c>
      <c r="B7" s="13" t="s">
        <v>256</v>
      </c>
      <c r="C7" s="14">
        <v>5.8134652473159854E-2</v>
      </c>
      <c r="D7" s="14">
        <v>1.7654796298079747</v>
      </c>
      <c r="E7" s="14">
        <v>0.17884982834530552</v>
      </c>
      <c r="F7" s="14">
        <v>0.47218957353294738</v>
      </c>
      <c r="G7" s="44">
        <v>0.32504729253035247</v>
      </c>
      <c r="H7" s="14">
        <v>7.0723568807486092E-2</v>
      </c>
      <c r="I7" s="14">
        <v>0.15579891951794009</v>
      </c>
      <c r="J7" s="14">
        <v>0.34958582363426655</v>
      </c>
      <c r="K7" s="44">
        <v>0.45394133044255386</v>
      </c>
      <c r="L7" s="14">
        <v>9.591349249628367E-2</v>
      </c>
      <c r="M7" s="14">
        <v>0.13682467999087919</v>
      </c>
      <c r="N7" s="14">
        <v>0.17576352971770345</v>
      </c>
      <c r="O7" s="44">
        <v>0.70099555506124567</v>
      </c>
      <c r="P7" s="14">
        <v>0.11002753482929917</v>
      </c>
      <c r="Q7" s="14">
        <v>0.11698578894906116</v>
      </c>
      <c r="R7" s="14">
        <v>0.17297442667840204</v>
      </c>
      <c r="S7" s="44">
        <v>0.94052051807085901</v>
      </c>
      <c r="T7" s="14">
        <v>0.12827861326959766</v>
      </c>
      <c r="U7" s="14">
        <v>0.1200721145823728</v>
      </c>
      <c r="V7" s="14">
        <v>0.17297442667840204</v>
      </c>
      <c r="W7" s="44">
        <v>1.0683464159498497</v>
      </c>
      <c r="X7" s="31"/>
      <c r="Y7" s="33">
        <v>8</v>
      </c>
      <c r="Z7" s="33" t="s">
        <v>114</v>
      </c>
      <c r="AA7" s="33" t="s">
        <v>114</v>
      </c>
      <c r="AB7" s="33" t="s">
        <v>114</v>
      </c>
      <c r="AC7" s="33" t="s">
        <v>114</v>
      </c>
      <c r="AD7" s="33" t="s">
        <v>114</v>
      </c>
      <c r="AE7" s="33" t="s">
        <v>33</v>
      </c>
    </row>
    <row r="8" spans="1:31" s="8" customFormat="1" ht="21.75" customHeight="1" x14ac:dyDescent="0.35">
      <c r="A8" s="12" t="s">
        <v>27</v>
      </c>
      <c r="B8" s="13" t="s">
        <v>230</v>
      </c>
      <c r="C8" s="14">
        <v>4.7916233234340355E-2</v>
      </c>
      <c r="D8" s="14">
        <v>1.3222343804633874</v>
      </c>
      <c r="E8" s="14">
        <v>0.20640736795905454</v>
      </c>
      <c r="F8" s="14">
        <v>0.55992213095831511</v>
      </c>
      <c r="G8" s="44">
        <v>0.23214400584695019</v>
      </c>
      <c r="H8" s="14">
        <v>7.9351865280939515E-2</v>
      </c>
      <c r="I8" s="14">
        <v>0.17312102743038363</v>
      </c>
      <c r="J8" s="14">
        <v>0.35080036220204691</v>
      </c>
      <c r="K8" s="44">
        <v>0.45836064202454507</v>
      </c>
      <c r="L8" s="14">
        <v>0.11872983444063445</v>
      </c>
      <c r="M8" s="14">
        <v>0.16197294764592376</v>
      </c>
      <c r="N8" s="14">
        <v>0.26540025536166567</v>
      </c>
      <c r="O8" s="44">
        <v>0.73302261992650986</v>
      </c>
      <c r="P8" s="14">
        <v>0.16900481672754331</v>
      </c>
      <c r="Q8" s="14">
        <v>0.14030827892883521</v>
      </c>
      <c r="R8" s="14">
        <v>0.13982506575325701</v>
      </c>
      <c r="S8" s="44">
        <v>1.2045249077088536</v>
      </c>
      <c r="T8" s="14">
        <v>0.19025023936648333</v>
      </c>
      <c r="U8" s="14">
        <v>0.1600013324977628</v>
      </c>
      <c r="V8" s="14">
        <v>0.13982506575325701</v>
      </c>
      <c r="W8" s="44">
        <v>1.1890540934660245</v>
      </c>
      <c r="X8" s="31">
        <v>41640</v>
      </c>
      <c r="Y8" s="28">
        <v>8</v>
      </c>
      <c r="Z8" s="15" t="s">
        <v>113</v>
      </c>
      <c r="AA8" s="15" t="s">
        <v>114</v>
      </c>
      <c r="AB8" s="15" t="s">
        <v>114</v>
      </c>
      <c r="AC8" s="15" t="s">
        <v>113</v>
      </c>
      <c r="AD8" s="15" t="s">
        <v>114</v>
      </c>
      <c r="AE8" s="15" t="s">
        <v>31</v>
      </c>
    </row>
    <row r="9" spans="1:31" s="8" customFormat="1" ht="21.75" customHeight="1" x14ac:dyDescent="0.35">
      <c r="A9" s="12" t="s">
        <v>34</v>
      </c>
      <c r="B9" s="13" t="s">
        <v>188</v>
      </c>
      <c r="C9" s="14">
        <v>4.391729209797135E-2</v>
      </c>
      <c r="D9" s="14">
        <v>1.1677799779978764</v>
      </c>
      <c r="E9" s="14">
        <v>0.15727602697849372</v>
      </c>
      <c r="F9" s="14">
        <v>0.45844028847329177</v>
      </c>
      <c r="G9" s="44">
        <v>0.2792370391196155</v>
      </c>
      <c r="H9" s="14">
        <v>7.459717214637851E-2</v>
      </c>
      <c r="I9" s="14">
        <v>0.16301304212129186</v>
      </c>
      <c r="J9" s="14">
        <v>0.30351233671988398</v>
      </c>
      <c r="K9" s="44">
        <v>0.45761474772597377</v>
      </c>
      <c r="L9" s="14">
        <v>4.6693965670711934E-2</v>
      </c>
      <c r="M9" s="14">
        <v>0.1679192411636363</v>
      </c>
      <c r="N9" s="14">
        <v>0.29047345894188681</v>
      </c>
      <c r="O9" s="44">
        <v>0.27807394404080793</v>
      </c>
      <c r="P9" s="14">
        <v>8.8850125041789241E-2</v>
      </c>
      <c r="Q9" s="14">
        <v>0.14535079935372769</v>
      </c>
      <c r="R9" s="14">
        <v>0.20743108270075383</v>
      </c>
      <c r="S9" s="44">
        <v>0.61128060827214559</v>
      </c>
      <c r="T9" s="14">
        <v>-2.0389369635976928E-3</v>
      </c>
      <c r="U9" s="14">
        <v>0.16452246970422171</v>
      </c>
      <c r="V9" s="14">
        <v>0.20743108270075383</v>
      </c>
      <c r="W9" s="44">
        <v>-1.2393060761021221E-2</v>
      </c>
      <c r="X9" s="31">
        <v>43281</v>
      </c>
      <c r="Y9" s="33">
        <v>9</v>
      </c>
      <c r="Z9" s="33" t="s">
        <v>113</v>
      </c>
      <c r="AA9" s="33" t="s">
        <v>112</v>
      </c>
      <c r="AB9" s="33" t="s">
        <v>114</v>
      </c>
      <c r="AC9" s="33" t="s">
        <v>114</v>
      </c>
      <c r="AD9" s="33" t="s">
        <v>112</v>
      </c>
      <c r="AE9" s="33" t="s">
        <v>33</v>
      </c>
    </row>
    <row r="10" spans="1:31" s="8" customFormat="1" ht="21.75" customHeight="1" x14ac:dyDescent="0.35">
      <c r="A10" s="12" t="s">
        <v>76</v>
      </c>
      <c r="B10" s="13" t="s">
        <v>79</v>
      </c>
      <c r="C10" s="14">
        <v>7.0990763960382841E-2</v>
      </c>
      <c r="D10" s="14">
        <v>2.4370340501706398</v>
      </c>
      <c r="E10" s="14">
        <v>0.13126763985030163</v>
      </c>
      <c r="F10" s="14">
        <v>0.36820000000000003</v>
      </c>
      <c r="G10" s="44">
        <v>0.54080932697000661</v>
      </c>
      <c r="H10" s="14">
        <v>6.2516057805069414E-2</v>
      </c>
      <c r="I10" s="14">
        <v>0.13218377460983924</v>
      </c>
      <c r="J10" s="14">
        <v>0.28171575269200599</v>
      </c>
      <c r="K10" s="44">
        <v>0.47294804517116557</v>
      </c>
      <c r="L10" s="14">
        <v>3.8662579098994732E-2</v>
      </c>
      <c r="M10" s="14">
        <v>0.13632944364745281</v>
      </c>
      <c r="N10" s="14">
        <v>0.27735952275509945</v>
      </c>
      <c r="O10" s="44">
        <v>0.28359669096116863</v>
      </c>
      <c r="P10" s="14">
        <v>4.5552203672488023E-2</v>
      </c>
      <c r="Q10" s="14">
        <v>0.11888637038321735</v>
      </c>
      <c r="R10" s="14">
        <v>0.21777183756974275</v>
      </c>
      <c r="S10" s="44">
        <v>0.38315749337502208</v>
      </c>
      <c r="T10" s="14">
        <v>-7.3074156494133957E-2</v>
      </c>
      <c r="U10" s="14">
        <v>0.12932261991628127</v>
      </c>
      <c r="V10" s="14">
        <v>0.19120873196163965</v>
      </c>
      <c r="W10" s="44">
        <v>-0.56505317121969456</v>
      </c>
      <c r="X10" s="31">
        <v>44742</v>
      </c>
      <c r="Y10" s="33">
        <v>8</v>
      </c>
      <c r="Z10" s="33" t="s">
        <v>114</v>
      </c>
      <c r="AA10" s="33" t="s">
        <v>112</v>
      </c>
      <c r="AB10" s="33" t="s">
        <v>114</v>
      </c>
      <c r="AC10" s="33" t="s">
        <v>114</v>
      </c>
      <c r="AD10" s="33" t="s">
        <v>112</v>
      </c>
      <c r="AE10" s="33" t="s">
        <v>33</v>
      </c>
    </row>
    <row r="11" spans="1:31" s="8" customFormat="1" ht="21.75" customHeight="1" x14ac:dyDescent="0.35">
      <c r="A11" s="12" t="s">
        <v>138</v>
      </c>
      <c r="B11" s="13" t="s">
        <v>189</v>
      </c>
      <c r="C11" s="14">
        <v>7.2065362680667766E-2</v>
      </c>
      <c r="D11" s="14">
        <v>2.4996461429582451</v>
      </c>
      <c r="E11" s="14">
        <v>0.19183089924422245</v>
      </c>
      <c r="F11" s="14">
        <v>0.47542134831460675</v>
      </c>
      <c r="G11" s="44">
        <v>0.37567129677539801</v>
      </c>
      <c r="H11" s="14">
        <v>9.3861263698214348E-2</v>
      </c>
      <c r="I11" s="14">
        <v>0.16180204050303676</v>
      </c>
      <c r="J11" s="14">
        <v>0.341540626099191</v>
      </c>
      <c r="K11" s="44">
        <v>0.58009938197567246</v>
      </c>
      <c r="L11" s="14">
        <v>0.11303779673441028</v>
      </c>
      <c r="M11" s="14">
        <v>0.1554420331518008</v>
      </c>
      <c r="N11" s="14">
        <v>0.2566844919786096</v>
      </c>
      <c r="O11" s="44">
        <v>0.72720225309984454</v>
      </c>
      <c r="P11" s="14">
        <v>0.17666566340310719</v>
      </c>
      <c r="Q11" s="14">
        <v>0.14208732683903338</v>
      </c>
      <c r="R11" s="14">
        <v>0.15427180168216023</v>
      </c>
      <c r="S11" s="44">
        <v>1.2433597515930932</v>
      </c>
      <c r="T11" s="14">
        <v>0.22296768406978518</v>
      </c>
      <c r="U11" s="14">
        <v>0.16356073054277884</v>
      </c>
      <c r="V11" s="14">
        <v>0.15427180168216023</v>
      </c>
      <c r="W11" s="44">
        <v>1.3632103704224323</v>
      </c>
      <c r="X11" s="31">
        <v>45838</v>
      </c>
      <c r="Y11" s="33">
        <v>8</v>
      </c>
      <c r="Z11" s="33" t="s">
        <v>32</v>
      </c>
      <c r="AA11" s="33" t="s">
        <v>32</v>
      </c>
      <c r="AB11" s="33" t="s">
        <v>32</v>
      </c>
      <c r="AC11" s="33" t="s">
        <v>32</v>
      </c>
      <c r="AD11" s="33" t="s">
        <v>32</v>
      </c>
      <c r="AE11" s="33" t="s">
        <v>33</v>
      </c>
    </row>
    <row r="12" spans="1:31" s="8" customFormat="1" ht="21.75" customHeight="1" x14ac:dyDescent="0.35">
      <c r="A12" s="12" t="s">
        <v>35</v>
      </c>
      <c r="B12" s="13" t="s">
        <v>38</v>
      </c>
      <c r="C12" s="14">
        <v>6.7532222071815085E-2</v>
      </c>
      <c r="D12" s="14">
        <v>2.2426249247441303</v>
      </c>
      <c r="E12" s="14">
        <v>0.17351800624521577</v>
      </c>
      <c r="F12" s="14">
        <v>0.43792039650027814</v>
      </c>
      <c r="G12" s="44">
        <v>0.38919431782992309</v>
      </c>
      <c r="H12" s="14">
        <v>6.7481710356655178E-2</v>
      </c>
      <c r="I12" s="14">
        <v>0.16334561757593785</v>
      </c>
      <c r="J12" s="14">
        <v>0.43792039650027814</v>
      </c>
      <c r="K12" s="44">
        <v>0.41312225793436769</v>
      </c>
      <c r="L12" s="14">
        <v>0.14213698292823218</v>
      </c>
      <c r="M12" s="14">
        <v>0.14419328365509174</v>
      </c>
      <c r="N12" s="14">
        <v>0.19925654100938855</v>
      </c>
      <c r="O12" s="44">
        <v>0.9857392752648716</v>
      </c>
      <c r="P12" s="14">
        <v>0.17860931993833762</v>
      </c>
      <c r="Q12" s="14">
        <v>0.12222208069498475</v>
      </c>
      <c r="R12" s="14">
        <v>0.14682553191489361</v>
      </c>
      <c r="S12" s="44">
        <v>1.4613506734848662</v>
      </c>
      <c r="T12" s="14">
        <v>0.24229539659075261</v>
      </c>
      <c r="U12" s="14">
        <v>0.13568580791937909</v>
      </c>
      <c r="V12" s="14">
        <v>0.14682553191489361</v>
      </c>
      <c r="W12" s="44">
        <v>1.7857092079572399</v>
      </c>
      <c r="X12" s="31">
        <v>42005</v>
      </c>
      <c r="Y12" s="33">
        <v>8</v>
      </c>
      <c r="Z12" s="33" t="s">
        <v>114</v>
      </c>
      <c r="AA12" s="33" t="s">
        <v>114</v>
      </c>
      <c r="AB12" s="33" t="s">
        <v>114</v>
      </c>
      <c r="AC12" s="33" t="s">
        <v>114</v>
      </c>
      <c r="AD12" s="33" t="s">
        <v>114</v>
      </c>
      <c r="AE12" s="33" t="s">
        <v>33</v>
      </c>
    </row>
    <row r="13" spans="1:31" s="8" customFormat="1" ht="21.75" customHeight="1" x14ac:dyDescent="0.35">
      <c r="A13" s="12" t="s">
        <v>156</v>
      </c>
      <c r="B13" s="13" t="s">
        <v>190</v>
      </c>
      <c r="C13" s="14" t="s">
        <v>112</v>
      </c>
      <c r="D13" s="14" t="s">
        <v>112</v>
      </c>
      <c r="E13" s="14" t="s">
        <v>112</v>
      </c>
      <c r="F13" s="14" t="s">
        <v>112</v>
      </c>
      <c r="G13" s="44" t="s">
        <v>112</v>
      </c>
      <c r="H13" s="14">
        <v>5.3576807676126936E-2</v>
      </c>
      <c r="I13" s="14">
        <v>0.14366368033617738</v>
      </c>
      <c r="J13" s="14">
        <v>0.33637619658541396</v>
      </c>
      <c r="K13" s="44">
        <v>0.3729321673421952</v>
      </c>
      <c r="L13" s="14">
        <v>4.6791606005439634E-2</v>
      </c>
      <c r="M13" s="14">
        <v>0.13357456231743789</v>
      </c>
      <c r="N13" s="14">
        <v>0.26155597646489875</v>
      </c>
      <c r="O13" s="44">
        <v>0.35030327027566899</v>
      </c>
      <c r="P13" s="14">
        <v>8.564386146565206E-2</v>
      </c>
      <c r="Q13" s="14">
        <v>0.11427255010468276</v>
      </c>
      <c r="R13" s="14">
        <v>0.15494689126635042</v>
      </c>
      <c r="S13" s="44">
        <v>0.74947011672703079</v>
      </c>
      <c r="T13" s="14">
        <v>6.0576603309623112E-2</v>
      </c>
      <c r="U13" s="14">
        <v>0.12678730907412594</v>
      </c>
      <c r="V13" s="14">
        <v>0.15494689126635042</v>
      </c>
      <c r="W13" s="44">
        <v>0.47778128388391872</v>
      </c>
      <c r="X13" s="31" t="s">
        <v>112</v>
      </c>
      <c r="Y13" s="33">
        <v>6</v>
      </c>
      <c r="Z13" s="33" t="s">
        <v>32</v>
      </c>
      <c r="AA13" s="33" t="s">
        <v>32</v>
      </c>
      <c r="AB13" s="33" t="s">
        <v>32</v>
      </c>
      <c r="AC13" s="33" t="s">
        <v>32</v>
      </c>
      <c r="AD13" s="33" t="s">
        <v>32</v>
      </c>
      <c r="AE13" s="33" t="s">
        <v>31</v>
      </c>
    </row>
    <row r="14" spans="1:31" s="8" customFormat="1" ht="21.75" customHeight="1" x14ac:dyDescent="0.35">
      <c r="A14" s="12" t="s">
        <v>48</v>
      </c>
      <c r="B14" s="13" t="s">
        <v>80</v>
      </c>
      <c r="C14" s="14">
        <v>5.2689760400279173E-2</v>
      </c>
      <c r="D14" s="14">
        <v>1.5202156334231804</v>
      </c>
      <c r="E14" s="14">
        <v>0.15894808051672946</v>
      </c>
      <c r="F14" s="14">
        <v>0.55784781256479377</v>
      </c>
      <c r="G14" s="44">
        <v>0.3314903849671435</v>
      </c>
      <c r="H14" s="14">
        <v>7.3497806745944194E-2</v>
      </c>
      <c r="I14" s="14">
        <v>0.15004534206099648</v>
      </c>
      <c r="J14" s="14">
        <v>0.33822629969418966</v>
      </c>
      <c r="K14" s="44">
        <v>0.48983731008501313</v>
      </c>
      <c r="L14" s="14">
        <v>7.5434524515441082E-2</v>
      </c>
      <c r="M14" s="14">
        <v>0.14963483952676637</v>
      </c>
      <c r="N14" s="14">
        <v>0.27259615384615382</v>
      </c>
      <c r="O14" s="44">
        <v>0.50412407133264914</v>
      </c>
      <c r="P14" s="14">
        <v>0.12178147267860284</v>
      </c>
      <c r="Q14" s="14">
        <v>0.12499783840120053</v>
      </c>
      <c r="R14" s="14">
        <v>0.15834038950042345</v>
      </c>
      <c r="S14" s="44">
        <v>0.97426862925201752</v>
      </c>
      <c r="T14" s="14">
        <v>0.14473688303934873</v>
      </c>
      <c r="U14" s="14">
        <v>0.15606539496651803</v>
      </c>
      <c r="V14" s="14">
        <v>0.15834038950042345</v>
      </c>
      <c r="W14" s="44">
        <v>0.92741176268063974</v>
      </c>
      <c r="X14" s="31" t="s">
        <v>112</v>
      </c>
      <c r="Y14" s="33">
        <v>9</v>
      </c>
      <c r="Z14" s="33" t="s">
        <v>113</v>
      </c>
      <c r="AA14" s="33" t="s">
        <v>112</v>
      </c>
      <c r="AB14" s="33" t="s">
        <v>114</v>
      </c>
      <c r="AC14" s="33" t="s">
        <v>114</v>
      </c>
      <c r="AD14" s="33" t="s">
        <v>112</v>
      </c>
      <c r="AE14" s="33" t="s">
        <v>33</v>
      </c>
    </row>
    <row r="15" spans="1:31" s="8" customFormat="1" ht="21.75" customHeight="1" x14ac:dyDescent="0.35">
      <c r="A15" s="12" t="s">
        <v>75</v>
      </c>
      <c r="B15" s="13" t="s">
        <v>231</v>
      </c>
      <c r="C15" s="14">
        <v>4.4851297057065809E-2</v>
      </c>
      <c r="D15" s="14">
        <v>1.202961135101789</v>
      </c>
      <c r="E15" s="14">
        <v>0.19129075582820834</v>
      </c>
      <c r="F15" s="14">
        <v>0.61334056399132331</v>
      </c>
      <c r="G15" s="44">
        <v>0.23446662052684458</v>
      </c>
      <c r="H15" s="14">
        <v>6.630756438871388E-2</v>
      </c>
      <c r="I15" s="14">
        <v>0.16625187032615535</v>
      </c>
      <c r="J15" s="14">
        <v>0.38464765100671139</v>
      </c>
      <c r="K15" s="44">
        <v>0.39883800560336996</v>
      </c>
      <c r="L15" s="14">
        <v>0.1101431689573138</v>
      </c>
      <c r="M15" s="14">
        <v>0.143979271788093</v>
      </c>
      <c r="N15" s="14">
        <v>0.21928721174004193</v>
      </c>
      <c r="O15" s="44">
        <v>0.76499323541114461</v>
      </c>
      <c r="P15" s="14">
        <v>0.20277909122044346</v>
      </c>
      <c r="Q15" s="14">
        <v>0.12790500044579692</v>
      </c>
      <c r="R15" s="14">
        <v>0.13736098587315909</v>
      </c>
      <c r="S15" s="44">
        <v>1.5853883000170614</v>
      </c>
      <c r="T15" s="14">
        <v>0.24227140566126626</v>
      </c>
      <c r="U15" s="14">
        <v>0.15418857483735851</v>
      </c>
      <c r="V15" s="14">
        <v>0.13736098587315909</v>
      </c>
      <c r="W15" s="44">
        <v>1.5712669107735087</v>
      </c>
      <c r="X15" s="31">
        <v>41640</v>
      </c>
      <c r="Y15" s="33">
        <v>8</v>
      </c>
      <c r="Z15" s="33" t="s">
        <v>114</v>
      </c>
      <c r="AA15" s="33" t="s">
        <v>114</v>
      </c>
      <c r="AB15" s="33" t="s">
        <v>114</v>
      </c>
      <c r="AC15" s="33" t="s">
        <v>114</v>
      </c>
      <c r="AD15" s="33" t="s">
        <v>114</v>
      </c>
      <c r="AE15" s="33" t="s">
        <v>33</v>
      </c>
    </row>
    <row r="16" spans="1:31" s="8" customFormat="1" ht="21.75" customHeight="1" x14ac:dyDescent="0.35">
      <c r="A16" s="12" t="s">
        <v>49</v>
      </c>
      <c r="B16" s="13" t="s">
        <v>121</v>
      </c>
      <c r="C16" s="14">
        <v>5.0746661136334081E-2</v>
      </c>
      <c r="D16" s="14">
        <v>1.4377758203538491</v>
      </c>
      <c r="E16" s="14">
        <v>0.19855722203941409</v>
      </c>
      <c r="F16" s="14">
        <v>0.48657280848329038</v>
      </c>
      <c r="G16" s="44">
        <v>0.25557701006846656</v>
      </c>
      <c r="H16" s="14">
        <v>8.0583462562171304E-2</v>
      </c>
      <c r="I16" s="14">
        <v>0.16997499863051779</v>
      </c>
      <c r="J16" s="14">
        <v>0.35631185969786427</v>
      </c>
      <c r="K16" s="44">
        <v>0.47409009096296073</v>
      </c>
      <c r="L16" s="14">
        <v>0.10018177159952235</v>
      </c>
      <c r="M16" s="14">
        <v>0.1607188535697319</v>
      </c>
      <c r="N16" s="14">
        <v>0.26619380900934753</v>
      </c>
      <c r="O16" s="44">
        <v>0.62333552893379729</v>
      </c>
      <c r="P16" s="14">
        <v>0.16055724321250175</v>
      </c>
      <c r="Q16" s="14">
        <v>0.1385440051909248</v>
      </c>
      <c r="R16" s="14">
        <v>0.15259079524107705</v>
      </c>
      <c r="S16" s="44">
        <v>1.1588898631250117</v>
      </c>
      <c r="T16" s="14">
        <v>0.20736687672426712</v>
      </c>
      <c r="U16" s="14">
        <v>0.15850616726733596</v>
      </c>
      <c r="V16" s="14">
        <v>0.15259079524107705</v>
      </c>
      <c r="W16" s="44">
        <v>1.3082574659352078</v>
      </c>
      <c r="X16" s="31">
        <v>43465</v>
      </c>
      <c r="Y16" s="33">
        <v>8</v>
      </c>
      <c r="Z16" s="33" t="s">
        <v>113</v>
      </c>
      <c r="AA16" s="33" t="s">
        <v>112</v>
      </c>
      <c r="AB16" s="33" t="s">
        <v>114</v>
      </c>
      <c r="AC16" s="33" t="s">
        <v>114</v>
      </c>
      <c r="AD16" s="33" t="s">
        <v>112</v>
      </c>
      <c r="AE16" s="33" t="s">
        <v>33</v>
      </c>
    </row>
    <row r="17" spans="1:31" s="8" customFormat="1" ht="21.75" customHeight="1" x14ac:dyDescent="0.35">
      <c r="A17" s="12" t="s">
        <v>70</v>
      </c>
      <c r="B17" s="13" t="s">
        <v>122</v>
      </c>
      <c r="C17" s="14">
        <v>5.4379276125108733E-2</v>
      </c>
      <c r="D17" s="14">
        <v>1.5940299353668217</v>
      </c>
      <c r="E17" s="14">
        <v>0.20816797790848884</v>
      </c>
      <c r="F17" s="14">
        <v>0.57324714914756691</v>
      </c>
      <c r="G17" s="44">
        <v>0.26122786353342969</v>
      </c>
      <c r="H17" s="14">
        <v>8.4040810119829112E-2</v>
      </c>
      <c r="I17" s="14">
        <v>0.175254700159723</v>
      </c>
      <c r="J17" s="14">
        <v>0.42051042365770175</v>
      </c>
      <c r="K17" s="44">
        <v>0.47953527091277037</v>
      </c>
      <c r="L17" s="14">
        <v>0.14826620225738019</v>
      </c>
      <c r="M17" s="14">
        <v>0.14995880382569027</v>
      </c>
      <c r="N17" s="14">
        <v>0.24728114930182601</v>
      </c>
      <c r="O17" s="44">
        <v>0.98871288963949366</v>
      </c>
      <c r="P17" s="14">
        <v>0.20266912594185715</v>
      </c>
      <c r="Q17" s="14">
        <v>0.13099675796557028</v>
      </c>
      <c r="R17" s="14">
        <v>0.15112548252870098</v>
      </c>
      <c r="S17" s="44">
        <v>1.5471308533843595</v>
      </c>
      <c r="T17" s="14">
        <v>0.31647857156044878</v>
      </c>
      <c r="U17" s="14">
        <v>0.15046376577986811</v>
      </c>
      <c r="V17" s="14">
        <v>0.15112548252870098</v>
      </c>
      <c r="W17" s="44">
        <v>2.1033540528519277</v>
      </c>
      <c r="X17" s="31">
        <v>41640</v>
      </c>
      <c r="Y17" s="33">
        <v>8</v>
      </c>
      <c r="Z17" s="33" t="s">
        <v>114</v>
      </c>
      <c r="AA17" s="33" t="s">
        <v>112</v>
      </c>
      <c r="AB17" s="33" t="s">
        <v>114</v>
      </c>
      <c r="AC17" s="33" t="s">
        <v>114</v>
      </c>
      <c r="AD17" s="33" t="s">
        <v>112</v>
      </c>
      <c r="AE17" s="33" t="s">
        <v>33</v>
      </c>
    </row>
    <row r="18" spans="1:31" s="8" customFormat="1" ht="21.75" customHeight="1" x14ac:dyDescent="0.35">
      <c r="A18" s="12" t="s">
        <v>57</v>
      </c>
      <c r="B18" s="13" t="s">
        <v>81</v>
      </c>
      <c r="C18" s="14">
        <v>7.5754348595751697E-2</v>
      </c>
      <c r="D18" s="14">
        <v>2.7228830959391503</v>
      </c>
      <c r="E18" s="14">
        <v>0.17245715317020099</v>
      </c>
      <c r="F18" s="14">
        <v>0.47005055645008942</v>
      </c>
      <c r="G18" s="44">
        <v>0.43926475187137293</v>
      </c>
      <c r="H18" s="14">
        <v>7.1699074758854842E-2</v>
      </c>
      <c r="I18" s="14">
        <v>0.16000308675036856</v>
      </c>
      <c r="J18" s="14">
        <v>0.31344001539300315</v>
      </c>
      <c r="K18" s="44">
        <v>0.44811057220863076</v>
      </c>
      <c r="L18" s="14">
        <v>4.8920127074649988E-2</v>
      </c>
      <c r="M18" s="14">
        <v>0.1537116980197657</v>
      </c>
      <c r="N18" s="14">
        <v>0.27320091697526466</v>
      </c>
      <c r="O18" s="44">
        <v>0.31825897251072838</v>
      </c>
      <c r="P18" s="14">
        <v>8.7983621402070611E-2</v>
      </c>
      <c r="Q18" s="14">
        <v>0.13304693001669224</v>
      </c>
      <c r="R18" s="14">
        <v>0.21433612741224795</v>
      </c>
      <c r="S18" s="44">
        <v>0.66129764430514915</v>
      </c>
      <c r="T18" s="14">
        <v>-2.8041454096602303E-2</v>
      </c>
      <c r="U18" s="14">
        <v>0.1534983660078649</v>
      </c>
      <c r="V18" s="14">
        <v>0.21433612741224795</v>
      </c>
      <c r="W18" s="44">
        <v>-0.18268242735017468</v>
      </c>
      <c r="X18" s="31">
        <v>43281</v>
      </c>
      <c r="Y18" s="33">
        <v>8</v>
      </c>
      <c r="Z18" s="33" t="s">
        <v>113</v>
      </c>
      <c r="AA18" s="33" t="s">
        <v>112</v>
      </c>
      <c r="AB18" s="33" t="s">
        <v>114</v>
      </c>
      <c r="AC18" s="33" t="s">
        <v>114</v>
      </c>
      <c r="AD18" s="33" t="s">
        <v>112</v>
      </c>
      <c r="AE18" s="33" t="s">
        <v>33</v>
      </c>
    </row>
    <row r="19" spans="1:31" s="8" customFormat="1" ht="21.75" customHeight="1" x14ac:dyDescent="0.35">
      <c r="A19" s="12" t="s">
        <v>58</v>
      </c>
      <c r="B19" s="13" t="s">
        <v>82</v>
      </c>
      <c r="C19" s="14">
        <v>5.412800205536028E-2</v>
      </c>
      <c r="D19" s="14">
        <v>1.5829240868429322</v>
      </c>
      <c r="E19" s="14">
        <v>0.20031849955016556</v>
      </c>
      <c r="F19" s="14">
        <v>0.51518759197711528</v>
      </c>
      <c r="G19" s="44">
        <v>0.27020970193421928</v>
      </c>
      <c r="H19" s="14">
        <v>7.6422850268285103E-2</v>
      </c>
      <c r="I19" s="14">
        <v>0.17208546396480298</v>
      </c>
      <c r="J19" s="14">
        <v>0.37353563503122256</v>
      </c>
      <c r="K19" s="44">
        <v>0.44409823181762775</v>
      </c>
      <c r="L19" s="14">
        <v>0.11582445748968784</v>
      </c>
      <c r="M19" s="14">
        <v>0.15135390899085505</v>
      </c>
      <c r="N19" s="14">
        <v>0.21727897974701038</v>
      </c>
      <c r="O19" s="44">
        <v>0.76525580516513825</v>
      </c>
      <c r="P19" s="14">
        <v>0.13978443391633477</v>
      </c>
      <c r="Q19" s="14">
        <v>0.13019546945025809</v>
      </c>
      <c r="R19" s="14">
        <v>0.14906385494678753</v>
      </c>
      <c r="S19" s="44">
        <v>1.0736505233750873</v>
      </c>
      <c r="T19" s="14">
        <v>0.16323965899917425</v>
      </c>
      <c r="U19" s="14">
        <v>0.14824545121592803</v>
      </c>
      <c r="V19" s="14">
        <v>0.14906385494678753</v>
      </c>
      <c r="W19" s="44">
        <v>1.1011444712823351</v>
      </c>
      <c r="X19" s="31">
        <v>43830</v>
      </c>
      <c r="Y19" s="33">
        <v>8</v>
      </c>
      <c r="Z19" s="33" t="s">
        <v>113</v>
      </c>
      <c r="AA19" s="33" t="s">
        <v>112</v>
      </c>
      <c r="AB19" s="33" t="s">
        <v>114</v>
      </c>
      <c r="AC19" s="33" t="s">
        <v>114</v>
      </c>
      <c r="AD19" s="33" t="s">
        <v>112</v>
      </c>
      <c r="AE19" s="33" t="s">
        <v>33</v>
      </c>
    </row>
    <row r="20" spans="1:31" s="8" customFormat="1" ht="21.75" customHeight="1" x14ac:dyDescent="0.35">
      <c r="A20" s="12" t="s">
        <v>50</v>
      </c>
      <c r="B20" s="13" t="s">
        <v>191</v>
      </c>
      <c r="C20" s="14">
        <v>3.9468950569716998E-2</v>
      </c>
      <c r="D20" s="14">
        <v>1.0073837156995049</v>
      </c>
      <c r="E20" s="14">
        <v>0.20837310977728957</v>
      </c>
      <c r="F20" s="14">
        <v>0.55735492577597845</v>
      </c>
      <c r="G20" s="44">
        <v>0.18941479834850883</v>
      </c>
      <c r="H20" s="14">
        <v>6.5325336469238104E-2</v>
      </c>
      <c r="I20" s="14">
        <v>0.15650421951648144</v>
      </c>
      <c r="J20" s="14">
        <v>0.35562727050186899</v>
      </c>
      <c r="K20" s="44">
        <v>0.41740303661498851</v>
      </c>
      <c r="L20" s="14">
        <v>9.7140571561271649E-2</v>
      </c>
      <c r="M20" s="14">
        <v>0.13993785392019673</v>
      </c>
      <c r="N20" s="14">
        <v>0.24665655362341204</v>
      </c>
      <c r="O20" s="44">
        <v>0.69416936761563197</v>
      </c>
      <c r="P20" s="14">
        <v>0.14530380809646259</v>
      </c>
      <c r="Q20" s="14">
        <v>0.12339770395130065</v>
      </c>
      <c r="R20" s="14">
        <v>0.15735029960447158</v>
      </c>
      <c r="S20" s="44">
        <v>1.1775244064006838</v>
      </c>
      <c r="T20" s="14">
        <v>0.19981515764008262</v>
      </c>
      <c r="U20" s="14">
        <v>0.1424319914138685</v>
      </c>
      <c r="V20" s="14">
        <v>0.15735029960447158</v>
      </c>
      <c r="W20" s="44">
        <v>1.4028811621363511</v>
      </c>
      <c r="X20" s="31">
        <v>42370</v>
      </c>
      <c r="Y20" s="33">
        <v>8</v>
      </c>
      <c r="Z20" s="33" t="s">
        <v>32</v>
      </c>
      <c r="AA20" s="33" t="s">
        <v>32</v>
      </c>
      <c r="AB20" s="33" t="s">
        <v>32</v>
      </c>
      <c r="AC20" s="33" t="s">
        <v>32</v>
      </c>
      <c r="AD20" s="33" t="s">
        <v>32</v>
      </c>
      <c r="AE20" s="33" t="s">
        <v>31</v>
      </c>
    </row>
    <row r="21" spans="1:31" s="8" customFormat="1" ht="21.75" customHeight="1" x14ac:dyDescent="0.35">
      <c r="A21" s="12" t="s">
        <v>59</v>
      </c>
      <c r="B21" s="13" t="s">
        <v>83</v>
      </c>
      <c r="C21" s="14">
        <v>5.5939356196313739E-2</v>
      </c>
      <c r="D21" s="14">
        <v>1.6639983035572286</v>
      </c>
      <c r="E21" s="14">
        <v>0.17500994216662463</v>
      </c>
      <c r="F21" s="14">
        <v>0.56168159889731217</v>
      </c>
      <c r="G21" s="44">
        <v>0.31963530473631391</v>
      </c>
      <c r="H21" s="14">
        <v>7.4890131636246249E-2</v>
      </c>
      <c r="I21" s="14">
        <v>0.14372593505368378</v>
      </c>
      <c r="J21" s="14">
        <v>0.32906086745231444</v>
      </c>
      <c r="K21" s="44">
        <v>0.5210620588989292</v>
      </c>
      <c r="L21" s="14">
        <v>0.10101788262055056</v>
      </c>
      <c r="M21" s="14">
        <v>0.12698217975147313</v>
      </c>
      <c r="N21" s="14">
        <v>0.20415840053590295</v>
      </c>
      <c r="O21" s="44">
        <v>0.79552802462724015</v>
      </c>
      <c r="P21" s="14">
        <v>0.14024601003389225</v>
      </c>
      <c r="Q21" s="14">
        <v>0.11716883603980581</v>
      </c>
      <c r="R21" s="14">
        <v>0.13539655852377683</v>
      </c>
      <c r="S21" s="44">
        <v>1.1969565865299407</v>
      </c>
      <c r="T21" s="14">
        <v>0.13348466868428055</v>
      </c>
      <c r="U21" s="14">
        <v>0.13233563769420262</v>
      </c>
      <c r="V21" s="14">
        <v>0.13539655852377683</v>
      </c>
      <c r="W21" s="44">
        <v>1.0086827026347436</v>
      </c>
      <c r="X21" s="31">
        <v>42370</v>
      </c>
      <c r="Y21" s="33">
        <v>8</v>
      </c>
      <c r="Z21" s="33" t="s">
        <v>114</v>
      </c>
      <c r="AA21" s="33" t="s">
        <v>114</v>
      </c>
      <c r="AB21" s="33" t="s">
        <v>114</v>
      </c>
      <c r="AC21" s="33" t="s">
        <v>114</v>
      </c>
      <c r="AD21" s="33" t="s">
        <v>114</v>
      </c>
      <c r="AE21" s="33" t="s">
        <v>33</v>
      </c>
    </row>
    <row r="22" spans="1:31" s="8" customFormat="1" ht="21.75" customHeight="1" x14ac:dyDescent="0.35">
      <c r="A22" s="12" t="s">
        <v>42</v>
      </c>
      <c r="B22" s="13" t="s">
        <v>44</v>
      </c>
      <c r="C22" s="14">
        <v>4.6837080395246034E-2</v>
      </c>
      <c r="D22" s="14">
        <v>1.2795596906718276</v>
      </c>
      <c r="E22" s="14">
        <v>0.1792638350180662</v>
      </c>
      <c r="F22" s="14">
        <v>0.56573223779603621</v>
      </c>
      <c r="G22" s="44">
        <v>0.26127456433432766</v>
      </c>
      <c r="H22" s="14">
        <v>6.7394008580106801E-2</v>
      </c>
      <c r="I22" s="14">
        <v>0.14253018864971609</v>
      </c>
      <c r="J22" s="14">
        <v>0.3374247798190731</v>
      </c>
      <c r="K22" s="44">
        <v>0.47284023980165446</v>
      </c>
      <c r="L22" s="14">
        <v>8.6215028612876443E-2</v>
      </c>
      <c r="M22" s="14">
        <v>0.12472708466771106</v>
      </c>
      <c r="N22" s="14">
        <v>0.20757217565728209</v>
      </c>
      <c r="O22" s="44">
        <v>0.69122940572662572</v>
      </c>
      <c r="P22" s="14">
        <v>0.11004895147159832</v>
      </c>
      <c r="Q22" s="14">
        <v>0.11587973983263888</v>
      </c>
      <c r="R22" s="14">
        <v>0.15887147712575583</v>
      </c>
      <c r="S22" s="44">
        <v>0.94968241756961336</v>
      </c>
      <c r="T22" s="14">
        <v>0.10944262507132718</v>
      </c>
      <c r="U22" s="14">
        <v>0.14063883724661766</v>
      </c>
      <c r="V22" s="14">
        <v>0.15887147712575583</v>
      </c>
      <c r="W22" s="44">
        <v>0.77818209545784101</v>
      </c>
      <c r="X22" s="31" t="s">
        <v>112</v>
      </c>
      <c r="Y22" s="33">
        <v>8</v>
      </c>
      <c r="Z22" s="33" t="s">
        <v>114</v>
      </c>
      <c r="AA22" s="33" t="s">
        <v>114</v>
      </c>
      <c r="AB22" s="33" t="s">
        <v>113</v>
      </c>
      <c r="AC22" s="33" t="s">
        <v>114</v>
      </c>
      <c r="AD22" s="33" t="s">
        <v>114</v>
      </c>
      <c r="AE22" s="33" t="s">
        <v>33</v>
      </c>
    </row>
    <row r="23" spans="1:31" s="8" customFormat="1" ht="21.75" customHeight="1" x14ac:dyDescent="0.35">
      <c r="A23" s="12" t="s">
        <v>157</v>
      </c>
      <c r="B23" s="13" t="s">
        <v>232</v>
      </c>
      <c r="C23" s="14">
        <v>3.749593812490537E-2</v>
      </c>
      <c r="D23" s="14">
        <v>0.93989031963847425</v>
      </c>
      <c r="E23" s="14">
        <v>0.19135692805683135</v>
      </c>
      <c r="F23" s="14">
        <v>0.49374680026329265</v>
      </c>
      <c r="G23" s="44">
        <v>0.19594763829909206</v>
      </c>
      <c r="H23" s="14">
        <v>6.4843176326532692E-2</v>
      </c>
      <c r="I23" s="14">
        <v>0.17372032296784684</v>
      </c>
      <c r="J23" s="14">
        <v>0.36765158510310858</v>
      </c>
      <c r="K23" s="44">
        <v>0.37326189140538407</v>
      </c>
      <c r="L23" s="14">
        <v>0.10820442903803817</v>
      </c>
      <c r="M23" s="14">
        <v>0.15909205520151568</v>
      </c>
      <c r="N23" s="14">
        <v>0.23201511674989725</v>
      </c>
      <c r="O23" s="44">
        <v>0.68013722558917145</v>
      </c>
      <c r="P23" s="14">
        <v>0.15773756776135084</v>
      </c>
      <c r="Q23" s="14">
        <v>0.13554825950676305</v>
      </c>
      <c r="R23" s="14">
        <v>0.14955478829729241</v>
      </c>
      <c r="S23" s="44">
        <v>1.1637004291706208</v>
      </c>
      <c r="T23" s="14">
        <v>0.20829068400859985</v>
      </c>
      <c r="U23" s="14">
        <v>0.15356629888183124</v>
      </c>
      <c r="V23" s="14">
        <v>0.14955478829729241</v>
      </c>
      <c r="W23" s="44">
        <v>1.3563567366358087</v>
      </c>
      <c r="X23" s="31">
        <v>44926</v>
      </c>
      <c r="Y23" s="33">
        <v>8</v>
      </c>
      <c r="Z23" s="33" t="s">
        <v>114</v>
      </c>
      <c r="AA23" s="33" t="s">
        <v>114</v>
      </c>
      <c r="AB23" s="33" t="s">
        <v>114</v>
      </c>
      <c r="AC23" s="33" t="s">
        <v>114</v>
      </c>
      <c r="AD23" s="33" t="s">
        <v>114</v>
      </c>
      <c r="AE23" s="33" t="s">
        <v>139</v>
      </c>
    </row>
    <row r="24" spans="1:31" s="8" customFormat="1" ht="21.75" customHeight="1" x14ac:dyDescent="0.35">
      <c r="A24" s="12" t="s">
        <v>60</v>
      </c>
      <c r="B24" s="13" t="s">
        <v>84</v>
      </c>
      <c r="C24" s="14">
        <v>5.5067855672818133E-2</v>
      </c>
      <c r="D24" s="14">
        <v>1.6246954649292928</v>
      </c>
      <c r="E24" s="14">
        <v>0.18337045465969865</v>
      </c>
      <c r="F24" s="14">
        <v>0.55035094863105871</v>
      </c>
      <c r="G24" s="44">
        <v>0.30030931523300086</v>
      </c>
      <c r="H24" s="14">
        <v>7.8970484774033123E-2</v>
      </c>
      <c r="I24" s="14">
        <v>0.15616154611769725</v>
      </c>
      <c r="J24" s="14">
        <v>0.3525781279641832</v>
      </c>
      <c r="K24" s="44">
        <v>0.50569738029177769</v>
      </c>
      <c r="L24" s="14">
        <v>0.11505140595506624</v>
      </c>
      <c r="M24" s="14">
        <v>0.13597516729453313</v>
      </c>
      <c r="N24" s="14">
        <v>0.19288017376528174</v>
      </c>
      <c r="O24" s="44">
        <v>0.84612071633532659</v>
      </c>
      <c r="P24" s="14">
        <v>0.14811091966328305</v>
      </c>
      <c r="Q24" s="14">
        <v>0.11950757894857737</v>
      </c>
      <c r="R24" s="14">
        <v>0.1626344655110607</v>
      </c>
      <c r="S24" s="44">
        <v>1.2393433200333959</v>
      </c>
      <c r="T24" s="14">
        <v>0.19713968331150133</v>
      </c>
      <c r="U24" s="14">
        <v>0.13809742839304087</v>
      </c>
      <c r="V24" s="14">
        <v>0.1626344655110607</v>
      </c>
      <c r="W24" s="44">
        <v>1.4275405820767317</v>
      </c>
      <c r="X24" s="31">
        <v>41640</v>
      </c>
      <c r="Y24" s="33">
        <v>6</v>
      </c>
      <c r="Z24" s="33" t="s">
        <v>114</v>
      </c>
      <c r="AA24" s="33" t="s">
        <v>112</v>
      </c>
      <c r="AB24" s="33" t="s">
        <v>114</v>
      </c>
      <c r="AC24" s="33" t="s">
        <v>114</v>
      </c>
      <c r="AD24" s="33" t="s">
        <v>112</v>
      </c>
      <c r="AE24" s="33" t="s">
        <v>33</v>
      </c>
    </row>
    <row r="25" spans="1:31" s="8" customFormat="1" ht="21.75" customHeight="1" x14ac:dyDescent="0.35">
      <c r="A25" s="12"/>
      <c r="B25" s="13"/>
      <c r="C25" s="14"/>
      <c r="D25" s="14"/>
      <c r="E25" s="14"/>
      <c r="F25" s="14"/>
      <c r="G25" s="25"/>
      <c r="H25" s="14"/>
      <c r="I25" s="14"/>
      <c r="J25" s="14"/>
      <c r="K25" s="25"/>
      <c r="L25" s="14"/>
      <c r="M25" s="14"/>
      <c r="N25" s="14"/>
      <c r="O25" s="25"/>
      <c r="P25" s="14"/>
      <c r="Q25" s="14"/>
      <c r="R25" s="14"/>
      <c r="S25" s="25"/>
      <c r="T25" s="14"/>
      <c r="U25" s="14"/>
      <c r="V25" s="14"/>
      <c r="W25" s="25"/>
      <c r="X25" s="16"/>
      <c r="Y25" s="28"/>
      <c r="Z25" s="15"/>
      <c r="AA25" s="15"/>
      <c r="AB25" s="15"/>
      <c r="AC25" s="15"/>
      <c r="AD25" s="33"/>
      <c r="AE25" s="33"/>
    </row>
    <row r="26" spans="1:31" s="1" customFormat="1" ht="21.75" customHeight="1" x14ac:dyDescent="0.35">
      <c r="A26" s="36" t="s">
        <v>2</v>
      </c>
      <c r="B26" s="36" t="s">
        <v>3</v>
      </c>
      <c r="C26" s="37">
        <f>AVERAGE(Table3[Performance annualisée depuis 01/08])</f>
        <v>5.3971525730246842E-2</v>
      </c>
      <c r="D26" s="37">
        <f>AVERAGE(Table3[Perf. Totale depuis 01/08])</f>
        <v>1.6370661785136142</v>
      </c>
      <c r="E26" s="37">
        <f>AVERAGE(Table3[Volatilité annualisée depuis 01/08])</f>
        <v>0.18521036648964365</v>
      </c>
      <c r="F26" s="37">
        <f>AVERAGE(Table3[Max Drawdown depuis 01/08])</f>
        <v>0.51854180267502792</v>
      </c>
      <c r="G26" s="42">
        <f>AVERAGE(Table3[Couple Rendement / Risque depuis 01/08])</f>
        <v>0.29824788999449853</v>
      </c>
      <c r="H26" s="37">
        <f>AVERAGE(Table3[Performance annualisée 10 ans])</f>
        <v>7.0931953190469091E-2</v>
      </c>
      <c r="I26" s="37">
        <f>AVERAGE(Table3[Volatilité annualisée 10 ans])</f>
        <v>0.16136052180976662</v>
      </c>
      <c r="J26" s="37">
        <f>AVERAGE(Table3[Max Drawdown 10 ans])</f>
        <v>0.35378497790389413</v>
      </c>
      <c r="K26" s="42">
        <f>AVERAGE(Table3[Couple Rendement Risque 10 ans])</f>
        <v>0.44179632384123985</v>
      </c>
      <c r="L26" s="37">
        <f>AVERAGE(Table3[Performance annualisée 5 ans])</f>
        <v>8.8461973684582237E-2</v>
      </c>
      <c r="M26" s="37">
        <f>AVERAGE(Table3[Volatilité annualisée 5 ans])</f>
        <v>0.15013114505865185</v>
      </c>
      <c r="N26" s="37">
        <f>AVERAGE(Table3[Max Drawdown 5 ans])</f>
        <v>0.24804813374461609</v>
      </c>
      <c r="O26" s="42">
        <f>AVERAGE(Table3[Couple Rendement Risque 5 ans])</f>
        <v>0.60158938979441512</v>
      </c>
      <c r="P26" s="37">
        <f>AVERAGE(Table3[Performance annualisée 3 ans])</f>
        <v>0.12966995082620331</v>
      </c>
      <c r="Q26" s="37">
        <f>AVERAGE(Table3[Volatilité annualisée 3 ans])</f>
        <v>0.1304291599768424</v>
      </c>
      <c r="R26" s="37">
        <f>AVERAGE(Table3[Max Drawdown 3 ans])</f>
        <v>0.16697239713700018</v>
      </c>
      <c r="S26" s="42">
        <f>AVERAGE(Table3[Couple Rendement Risque 3 ans])</f>
        <v>1.0038802279978705</v>
      </c>
      <c r="T26" s="37">
        <f>AVERAGE(Table3[Performance annualisée 1 an])</f>
        <v>0.13127755248319803</v>
      </c>
      <c r="U26" s="37">
        <f>AVERAGE(Table3[Volatilité annualisée 1 an])</f>
        <v>0.14869661794463848</v>
      </c>
      <c r="V26" s="37">
        <f>AVERAGE(Table3[Max Drawdown 1 an])</f>
        <v>0.16550330833722735</v>
      </c>
      <c r="W26" s="42">
        <f>AVERAGE(Table3[Couple Rendement Risque 1 an])</f>
        <v>0.88738279969670741</v>
      </c>
      <c r="X26" s="38"/>
      <c r="Y26" s="37"/>
      <c r="Z26" s="37"/>
      <c r="AA26" s="37"/>
      <c r="AB26" s="37"/>
      <c r="AC26" s="37"/>
      <c r="AD26" s="37"/>
      <c r="AE26" s="37"/>
    </row>
    <row r="27" spans="1:31" ht="21.75" customHeight="1" x14ac:dyDescent="0.35">
      <c r="A27" s="7"/>
      <c r="AD27" s="1"/>
      <c r="AE27" s="1"/>
    </row>
    <row r="28" spans="1:31" ht="21.75" customHeight="1" x14ac:dyDescent="0.35">
      <c r="C28" s="29"/>
      <c r="D28" s="29"/>
      <c r="E28" s="29"/>
      <c r="F28" s="29"/>
      <c r="G28" s="26"/>
      <c r="H28" s="29"/>
      <c r="I28" s="29"/>
      <c r="J28" s="29"/>
      <c r="K28" s="26"/>
      <c r="L28" s="29"/>
      <c r="M28" s="29"/>
      <c r="N28" s="29"/>
      <c r="O28" s="26"/>
      <c r="P28" s="29"/>
      <c r="Q28" s="29"/>
      <c r="R28" s="29"/>
      <c r="S28" s="26"/>
      <c r="T28" s="29"/>
      <c r="U28" s="29"/>
      <c r="V28" s="29"/>
      <c r="W28" s="26"/>
    </row>
    <row r="29" spans="1:31" ht="21.75" customHeight="1" x14ac:dyDescent="0.35">
      <c r="E29" s="2"/>
      <c r="F29" s="2"/>
    </row>
    <row r="30" spans="1:31" ht="21.75" customHeight="1" x14ac:dyDescent="0.35">
      <c r="E30" s="2"/>
      <c r="F30" s="2"/>
    </row>
    <row r="31" spans="1:31" ht="21.75" customHeight="1" x14ac:dyDescent="0.35">
      <c r="E31" s="2"/>
      <c r="F31" s="2"/>
      <c r="AB31" s="6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</sheetData>
  <sheetProtection selectLockedCells="1"/>
  <phoneticPr fontId="23" type="noConversion"/>
  <conditionalFormatting sqref="C4:C25">
    <cfRule type="iconSet" priority="50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5">
    <cfRule type="iconSet" priority="50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25">
    <cfRule type="iconSet" priority="503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5">
    <cfRule type="iconSet" priority="503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5">
    <cfRule type="iconSet" priority="503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34:X34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25">
    <cfRule type="iconSet" priority="50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25">
    <cfRule type="iconSet" priority="503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5">
    <cfRule type="iconSet" priority="504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25">
    <cfRule type="iconSet" priority="504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5">
    <cfRule type="iconSet" priority="504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5">
    <cfRule type="iconSet" priority="504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5">
    <cfRule type="iconSet" priority="504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25">
    <cfRule type="iconSet" priority="505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5">
    <cfRule type="iconSet" priority="505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5">
    <cfRule type="iconSet" priority="505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5">
    <cfRule type="iconSet" priority="505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25">
    <cfRule type="iconSet" priority="505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25">
    <cfRule type="iconSet" priority="506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25">
    <cfRule type="iconSet" priority="506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25">
    <cfRule type="iconSet" priority="506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25">
    <cfRule type="iconSet" priority="506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>
    <tabColor rgb="FF008000"/>
    <pageSetUpPr fitToPage="1"/>
  </sheetPr>
  <dimension ref="A1:AE52"/>
  <sheetViews>
    <sheetView showGridLines="0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19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2"/>
      <c r="T2" s="4"/>
      <c r="U2" s="4"/>
      <c r="V2" s="22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8" customFormat="1" ht="21.75" customHeight="1" x14ac:dyDescent="0.35">
      <c r="A4" s="12" t="s">
        <v>47</v>
      </c>
      <c r="B4" s="13" t="s">
        <v>85</v>
      </c>
      <c r="C4" s="14">
        <v>9.5111660901419315E-2</v>
      </c>
      <c r="D4" s="14">
        <v>4.1322201454777607</v>
      </c>
      <c r="E4" s="14">
        <v>0.17176194376214829</v>
      </c>
      <c r="F4" s="14">
        <v>0.47555789875599996</v>
      </c>
      <c r="G4" s="44">
        <v>0.55374117699277792</v>
      </c>
      <c r="H4" s="14">
        <v>0.11064062101844341</v>
      </c>
      <c r="I4" s="14">
        <v>0.1545861597891412</v>
      </c>
      <c r="J4" s="14">
        <v>0.33620423357429557</v>
      </c>
      <c r="K4" s="44">
        <v>0.71572138909045646</v>
      </c>
      <c r="L4" s="14">
        <v>0.15740954371541771</v>
      </c>
      <c r="M4" s="14">
        <v>0.14904794246453781</v>
      </c>
      <c r="N4" s="14">
        <v>0.21572789550717147</v>
      </c>
      <c r="O4" s="44">
        <v>1.0561000783547838</v>
      </c>
      <c r="P4" s="14">
        <v>0.20046549687630444</v>
      </c>
      <c r="Q4" s="14">
        <v>0.14742346497869377</v>
      </c>
      <c r="R4" s="14">
        <v>0.21572789550717147</v>
      </c>
      <c r="S4" s="44">
        <v>1.3597936862037296</v>
      </c>
      <c r="T4" s="14">
        <v>8.5372075607206055E-2</v>
      </c>
      <c r="U4" s="14">
        <v>0.19178381382960605</v>
      </c>
      <c r="V4" s="14">
        <v>0.21572789550717147</v>
      </c>
      <c r="W4" s="44">
        <v>0.44514744963334857</v>
      </c>
      <c r="X4" s="31">
        <v>41640</v>
      </c>
      <c r="Y4" s="33">
        <v>6</v>
      </c>
      <c r="Z4" s="33" t="s">
        <v>114</v>
      </c>
      <c r="AA4" s="33" t="s">
        <v>112</v>
      </c>
      <c r="AB4" s="33" t="s">
        <v>114</v>
      </c>
      <c r="AC4" s="33" t="s">
        <v>114</v>
      </c>
      <c r="AD4" s="47" t="s">
        <v>112</v>
      </c>
      <c r="AE4" s="47" t="s">
        <v>33</v>
      </c>
    </row>
    <row r="5" spans="1:31" s="8" customFormat="1" ht="21.75" customHeight="1" x14ac:dyDescent="0.35">
      <c r="A5" s="12" t="s">
        <v>69</v>
      </c>
      <c r="B5" s="13" t="s">
        <v>192</v>
      </c>
      <c r="C5" s="14" t="s">
        <v>112</v>
      </c>
      <c r="D5" s="14" t="s">
        <v>112</v>
      </c>
      <c r="E5" s="14" t="s">
        <v>112</v>
      </c>
      <c r="F5" s="14" t="s">
        <v>112</v>
      </c>
      <c r="G5" s="44" t="s">
        <v>112</v>
      </c>
      <c r="H5" s="14">
        <v>0.11836967854203606</v>
      </c>
      <c r="I5" s="14">
        <v>0.14819782047786409</v>
      </c>
      <c r="J5" s="14">
        <v>0.33581692649247352</v>
      </c>
      <c r="K5" s="44">
        <v>0.79872752622375187</v>
      </c>
      <c r="L5" s="14">
        <v>0.1640646770554155</v>
      </c>
      <c r="M5" s="14">
        <v>0.12910082128201841</v>
      </c>
      <c r="N5" s="14">
        <v>0.16921371551914338</v>
      </c>
      <c r="O5" s="44">
        <v>1.2708259748171484</v>
      </c>
      <c r="P5" s="14">
        <v>0.18810655187126235</v>
      </c>
      <c r="Q5" s="14">
        <v>0.12002114179535447</v>
      </c>
      <c r="R5" s="14">
        <v>0.16921371551914338</v>
      </c>
      <c r="S5" s="44">
        <v>1.567278473254311</v>
      </c>
      <c r="T5" s="14">
        <v>0.24339605417240651</v>
      </c>
      <c r="U5" s="14">
        <v>0.13767549641667168</v>
      </c>
      <c r="V5" s="14">
        <v>0.16921371551914338</v>
      </c>
      <c r="W5" s="44">
        <v>1.7678966882804914</v>
      </c>
      <c r="X5" s="31">
        <v>45838</v>
      </c>
      <c r="Y5" s="33">
        <v>8</v>
      </c>
      <c r="Z5" s="33" t="s">
        <v>126</v>
      </c>
      <c r="AA5" s="33" t="s">
        <v>114</v>
      </c>
      <c r="AB5" s="33" t="s">
        <v>114</v>
      </c>
      <c r="AC5" s="33" t="s">
        <v>114</v>
      </c>
      <c r="AD5" s="47" t="s">
        <v>114</v>
      </c>
      <c r="AE5" s="47" t="s">
        <v>33</v>
      </c>
    </row>
    <row r="6" spans="1:31" s="8" customFormat="1" ht="21.75" customHeight="1" x14ac:dyDescent="0.35">
      <c r="A6" s="12" t="s">
        <v>250</v>
      </c>
      <c r="B6" s="13" t="s">
        <v>257</v>
      </c>
      <c r="C6" s="14">
        <v>7.9894348248888969E-2</v>
      </c>
      <c r="D6" s="14">
        <v>2.9894086496028245</v>
      </c>
      <c r="E6" s="14">
        <v>0.17946612787673444</v>
      </c>
      <c r="F6" s="14">
        <v>0.49602824360105913</v>
      </c>
      <c r="G6" s="44">
        <v>0.44517786834830508</v>
      </c>
      <c r="H6" s="14">
        <v>0.10232624833199711</v>
      </c>
      <c r="I6" s="14">
        <v>0.15559953276033911</v>
      </c>
      <c r="J6" s="14">
        <v>0.35483870967741932</v>
      </c>
      <c r="K6" s="44">
        <v>0.65762567866835608</v>
      </c>
      <c r="L6" s="14">
        <v>0.13404883592209282</v>
      </c>
      <c r="M6" s="14">
        <v>0.13813118951182096</v>
      </c>
      <c r="N6" s="14">
        <v>0.20246971109040085</v>
      </c>
      <c r="O6" s="44">
        <v>0.97044582324849393</v>
      </c>
      <c r="P6" s="14">
        <v>0.17317469474870961</v>
      </c>
      <c r="Q6" s="14">
        <v>0.12364314589240949</v>
      </c>
      <c r="R6" s="14">
        <v>0.20246971109040085</v>
      </c>
      <c r="S6" s="44">
        <v>1.4006008460784471</v>
      </c>
      <c r="T6" s="14">
        <v>8.5816652590930742E-2</v>
      </c>
      <c r="U6" s="14">
        <v>0.12741209891717439</v>
      </c>
      <c r="V6" s="14">
        <v>0.20246971109040085</v>
      </c>
      <c r="W6" s="44">
        <v>0.67353613448214822</v>
      </c>
      <c r="X6" s="31">
        <v>41640</v>
      </c>
      <c r="Y6" s="33">
        <v>8</v>
      </c>
      <c r="Z6" s="33" t="s">
        <v>114</v>
      </c>
      <c r="AA6" s="33" t="s">
        <v>114</v>
      </c>
      <c r="AB6" s="33" t="s">
        <v>114</v>
      </c>
      <c r="AC6" s="33" t="s">
        <v>114</v>
      </c>
      <c r="AD6" s="47" t="s">
        <v>114</v>
      </c>
      <c r="AE6" s="47" t="s">
        <v>33</v>
      </c>
    </row>
    <row r="7" spans="1:31" s="8" customFormat="1" ht="21.75" customHeight="1" x14ac:dyDescent="0.35">
      <c r="A7" s="12" t="s">
        <v>27</v>
      </c>
      <c r="B7" s="13" t="s">
        <v>233</v>
      </c>
      <c r="C7" s="14" t="s">
        <v>112</v>
      </c>
      <c r="D7" s="14" t="s">
        <v>112</v>
      </c>
      <c r="E7" s="14" t="s">
        <v>112</v>
      </c>
      <c r="F7" s="14" t="s">
        <v>112</v>
      </c>
      <c r="G7" s="44" t="s">
        <v>112</v>
      </c>
      <c r="H7" s="14" t="s">
        <v>112</v>
      </c>
      <c r="I7" s="14" t="s">
        <v>112</v>
      </c>
      <c r="J7" s="14" t="s">
        <v>112</v>
      </c>
      <c r="K7" s="44" t="s">
        <v>112</v>
      </c>
      <c r="L7" s="14">
        <v>3.5642790841790228E-2</v>
      </c>
      <c r="M7" s="14">
        <v>0.10354451614414402</v>
      </c>
      <c r="N7" s="14">
        <v>0.24171924441202858</v>
      </c>
      <c r="O7" s="44">
        <v>0.34422673618148936</v>
      </c>
      <c r="P7" s="14">
        <v>8.4211745328500731E-2</v>
      </c>
      <c r="Q7" s="14">
        <v>0.1045995806207802</v>
      </c>
      <c r="R7" s="14">
        <v>0.16874639159385704</v>
      </c>
      <c r="S7" s="44">
        <v>0.80508683523125779</v>
      </c>
      <c r="T7" s="14">
        <v>0.1113198211685078</v>
      </c>
      <c r="U7" s="14">
        <v>0.11581221217098127</v>
      </c>
      <c r="V7" s="14">
        <v>0.16874639159385704</v>
      </c>
      <c r="W7" s="44">
        <v>0.9612096952621797</v>
      </c>
      <c r="X7" s="31" t="s">
        <v>112</v>
      </c>
      <c r="Y7" s="33">
        <v>8</v>
      </c>
      <c r="Z7" s="33" t="s">
        <v>114</v>
      </c>
      <c r="AA7" s="33" t="s">
        <v>114</v>
      </c>
      <c r="AB7" s="33" t="s">
        <v>114</v>
      </c>
      <c r="AC7" s="33" t="s">
        <v>114</v>
      </c>
      <c r="AD7" s="47" t="s">
        <v>114</v>
      </c>
      <c r="AE7" s="47" t="s">
        <v>31</v>
      </c>
    </row>
    <row r="8" spans="1:31" s="8" customFormat="1" ht="21.75" customHeight="1" x14ac:dyDescent="0.35">
      <c r="A8" s="12" t="s">
        <v>262</v>
      </c>
      <c r="B8" s="13" t="s">
        <v>268</v>
      </c>
      <c r="C8" s="14">
        <v>8.1970624763486821E-2</v>
      </c>
      <c r="D8" s="14">
        <v>3.1297646015955873</v>
      </c>
      <c r="E8" s="14">
        <v>0.16866953502241869</v>
      </c>
      <c r="F8" s="14">
        <v>0.78111333657276261</v>
      </c>
      <c r="G8" s="44">
        <v>0.48598358175702394</v>
      </c>
      <c r="H8" s="14">
        <v>0.10000019270532157</v>
      </c>
      <c r="I8" s="14">
        <v>0.15762265374090761</v>
      </c>
      <c r="J8" s="14">
        <v>0.33680347976664127</v>
      </c>
      <c r="K8" s="44">
        <v>0.63442779531993532</v>
      </c>
      <c r="L8" s="14">
        <v>0.11585896268301865</v>
      </c>
      <c r="M8" s="14">
        <v>0.14647243804652485</v>
      </c>
      <c r="N8" s="14">
        <v>0.19129480614484271</v>
      </c>
      <c r="O8" s="44">
        <v>0.7909949764488643</v>
      </c>
      <c r="P8" s="14">
        <v>0.1528668864404692</v>
      </c>
      <c r="Q8" s="14">
        <v>0.13069147161971417</v>
      </c>
      <c r="R8" s="14">
        <v>0.18812293375780592</v>
      </c>
      <c r="S8" s="44">
        <v>1.1696775967545994</v>
      </c>
      <c r="T8" s="14">
        <v>6.6453361739625905E-2</v>
      </c>
      <c r="U8" s="14">
        <v>0.15253544547495262</v>
      </c>
      <c r="V8" s="14">
        <v>0.18812293375780592</v>
      </c>
      <c r="W8" s="44">
        <v>0.43565848929544709</v>
      </c>
      <c r="X8" s="31">
        <v>46022</v>
      </c>
      <c r="Y8" s="33">
        <v>9</v>
      </c>
      <c r="Z8" s="33" t="s">
        <v>113</v>
      </c>
      <c r="AA8" s="33" t="s">
        <v>32</v>
      </c>
      <c r="AB8" s="33" t="s">
        <v>32</v>
      </c>
      <c r="AC8" s="33" t="s">
        <v>32</v>
      </c>
      <c r="AD8" s="47" t="s">
        <v>32</v>
      </c>
      <c r="AE8" s="47" t="s">
        <v>33</v>
      </c>
    </row>
    <row r="9" spans="1:31" s="8" customFormat="1" ht="21.75" customHeight="1" x14ac:dyDescent="0.35">
      <c r="A9" s="12" t="s">
        <v>34</v>
      </c>
      <c r="B9" s="13" t="s">
        <v>193</v>
      </c>
      <c r="C9" s="14">
        <v>7.3634945584060363E-2</v>
      </c>
      <c r="D9" s="14">
        <v>2.5930374146758499</v>
      </c>
      <c r="E9" s="14">
        <v>0.16229328975061963</v>
      </c>
      <c r="F9" s="14">
        <v>0.39379196263501021</v>
      </c>
      <c r="G9" s="44">
        <v>0.45371528112596676</v>
      </c>
      <c r="H9" s="14">
        <v>9.4665954227839633E-2</v>
      </c>
      <c r="I9" s="14">
        <v>0.15578485496265479</v>
      </c>
      <c r="J9" s="14">
        <v>0.2877331825890328</v>
      </c>
      <c r="K9" s="44">
        <v>0.60767110031673643</v>
      </c>
      <c r="L9" s="14">
        <v>9.3099350594577857E-2</v>
      </c>
      <c r="M9" s="14">
        <v>0.15456005279512017</v>
      </c>
      <c r="N9" s="14">
        <v>0.2877331825890328</v>
      </c>
      <c r="O9" s="44">
        <v>0.6023506650711834</v>
      </c>
      <c r="P9" s="14">
        <v>0.20978171572078375</v>
      </c>
      <c r="Q9" s="14">
        <v>0.13372011746800377</v>
      </c>
      <c r="R9" s="14">
        <v>0.19508591866884886</v>
      </c>
      <c r="S9" s="44">
        <v>1.5688119311664515</v>
      </c>
      <c r="T9" s="14">
        <v>0.17699303392643362</v>
      </c>
      <c r="U9" s="14">
        <v>0.14640197373939681</v>
      </c>
      <c r="V9" s="14">
        <v>0.19508591866884886</v>
      </c>
      <c r="W9" s="44">
        <v>1.2089525120849156</v>
      </c>
      <c r="X9" s="31">
        <v>41640</v>
      </c>
      <c r="Y9" s="33">
        <v>8</v>
      </c>
      <c r="Z9" s="33" t="s">
        <v>113</v>
      </c>
      <c r="AA9" s="33" t="s">
        <v>112</v>
      </c>
      <c r="AB9" s="33" t="s">
        <v>114</v>
      </c>
      <c r="AC9" s="33" t="s">
        <v>114</v>
      </c>
      <c r="AD9" s="47" t="s">
        <v>112</v>
      </c>
      <c r="AE9" s="47" t="s">
        <v>37</v>
      </c>
    </row>
    <row r="10" spans="1:31" s="8" customFormat="1" ht="21.75" customHeight="1" x14ac:dyDescent="0.35">
      <c r="A10" s="12" t="s">
        <v>76</v>
      </c>
      <c r="B10" s="13" t="s">
        <v>86</v>
      </c>
      <c r="C10" s="14">
        <v>8.0309376990933323E-2</v>
      </c>
      <c r="D10" s="14">
        <v>3.0170991241987197</v>
      </c>
      <c r="E10" s="14">
        <v>0.11714237693395491</v>
      </c>
      <c r="F10" s="14">
        <v>0.387834040988909</v>
      </c>
      <c r="G10" s="44">
        <v>0.68557066275180589</v>
      </c>
      <c r="H10" s="14">
        <v>8.6016499751143005E-2</v>
      </c>
      <c r="I10" s="14">
        <v>0.10980290763863475</v>
      </c>
      <c r="J10" s="14">
        <v>0.23864945158266423</v>
      </c>
      <c r="K10" s="44">
        <v>0.7833717849642593</v>
      </c>
      <c r="L10" s="14">
        <v>5.3478877543140735E-2</v>
      </c>
      <c r="M10" s="14">
        <v>0.11302426182024475</v>
      </c>
      <c r="N10" s="14">
        <v>0.23769479443646471</v>
      </c>
      <c r="O10" s="44">
        <v>0.47316281196504723</v>
      </c>
      <c r="P10" s="14">
        <v>0.11864582237432053</v>
      </c>
      <c r="Q10" s="14">
        <v>0.10189384185787813</v>
      </c>
      <c r="R10" s="14">
        <v>0.19444444287868887</v>
      </c>
      <c r="S10" s="44">
        <v>1.1644062115138236</v>
      </c>
      <c r="T10" s="14">
        <v>-4.2376472860340408E-3</v>
      </c>
      <c r="U10" s="14">
        <v>0.11506235576867598</v>
      </c>
      <c r="V10" s="14">
        <v>0.19444444287868887</v>
      </c>
      <c r="W10" s="44">
        <v>-3.6829137190216278E-2</v>
      </c>
      <c r="X10" s="31" t="s">
        <v>112</v>
      </c>
      <c r="Y10" s="33">
        <v>8</v>
      </c>
      <c r="Z10" s="33" t="s">
        <v>114</v>
      </c>
      <c r="AA10" s="33" t="s">
        <v>112</v>
      </c>
      <c r="AB10" s="33" t="s">
        <v>114</v>
      </c>
      <c r="AC10" s="33" t="s">
        <v>114</v>
      </c>
      <c r="AD10" s="47" t="s">
        <v>112</v>
      </c>
      <c r="AE10" s="47" t="s">
        <v>33</v>
      </c>
    </row>
    <row r="11" spans="1:31" s="8" customFormat="1" ht="21.75" customHeight="1" x14ac:dyDescent="0.35">
      <c r="A11" s="12" t="s">
        <v>138</v>
      </c>
      <c r="B11" s="13" t="s">
        <v>149</v>
      </c>
      <c r="C11" s="14">
        <v>6.4424949926395136E-2</v>
      </c>
      <c r="D11" s="14">
        <v>2.07686146411312</v>
      </c>
      <c r="E11" s="14">
        <v>0.15451565111586646</v>
      </c>
      <c r="F11" s="14">
        <v>0.45310542330409881</v>
      </c>
      <c r="G11" s="44">
        <v>0.4169477296386298</v>
      </c>
      <c r="H11" s="14">
        <v>8.7196545576330164E-2</v>
      </c>
      <c r="I11" s="14">
        <v>0.13567179241734778</v>
      </c>
      <c r="J11" s="14">
        <v>0.30516101282336094</v>
      </c>
      <c r="K11" s="44">
        <v>0.64270209763352926</v>
      </c>
      <c r="L11" s="14">
        <v>0.10119783597943544</v>
      </c>
      <c r="M11" s="14">
        <v>0.13621178600606421</v>
      </c>
      <c r="N11" s="14">
        <v>0.22864214872756305</v>
      </c>
      <c r="O11" s="44">
        <v>0.74294478434435962</v>
      </c>
      <c r="P11" s="14">
        <v>0.17308684286874443</v>
      </c>
      <c r="Q11" s="14">
        <v>0.13440603595925152</v>
      </c>
      <c r="R11" s="14">
        <v>0.20461875867681567</v>
      </c>
      <c r="S11" s="44">
        <v>1.2877906980399298</v>
      </c>
      <c r="T11" s="14">
        <v>8.2492286414544758E-2</v>
      </c>
      <c r="U11" s="14">
        <v>0.16907283951068364</v>
      </c>
      <c r="V11" s="14">
        <v>0.20461875867681567</v>
      </c>
      <c r="W11" s="44">
        <v>0.48790974738040116</v>
      </c>
      <c r="X11" s="31">
        <v>45657</v>
      </c>
      <c r="Y11" s="33">
        <v>8</v>
      </c>
      <c r="Z11" s="33" t="s">
        <v>114</v>
      </c>
      <c r="AA11" s="33" t="s">
        <v>114</v>
      </c>
      <c r="AB11" s="33" t="s">
        <v>114</v>
      </c>
      <c r="AC11" s="33" t="s">
        <v>114</v>
      </c>
      <c r="AD11" s="47" t="s">
        <v>114</v>
      </c>
      <c r="AE11" s="47" t="s">
        <v>31</v>
      </c>
    </row>
    <row r="12" spans="1:31" s="8" customFormat="1" ht="21.75" customHeight="1" x14ac:dyDescent="0.35">
      <c r="A12" s="12" t="s">
        <v>56</v>
      </c>
      <c r="B12" s="13" t="s">
        <v>87</v>
      </c>
      <c r="C12" s="14" t="s">
        <v>112</v>
      </c>
      <c r="D12" s="14" t="s">
        <v>112</v>
      </c>
      <c r="E12" s="14" t="s">
        <v>112</v>
      </c>
      <c r="F12" s="14" t="s">
        <v>112</v>
      </c>
      <c r="G12" s="44" t="s">
        <v>112</v>
      </c>
      <c r="H12" s="14">
        <v>7.2857250317070354E-2</v>
      </c>
      <c r="I12" s="14">
        <v>0.15937272468299352</v>
      </c>
      <c r="J12" s="14">
        <v>0.33914821393471101</v>
      </c>
      <c r="K12" s="44">
        <v>0.45715005790350821</v>
      </c>
      <c r="L12" s="14">
        <v>4.9476628906738318E-2</v>
      </c>
      <c r="M12" s="14">
        <v>0.14942052962660377</v>
      </c>
      <c r="N12" s="14">
        <v>0.22786030605538082</v>
      </c>
      <c r="O12" s="44">
        <v>0.33112336725333885</v>
      </c>
      <c r="P12" s="14">
        <v>5.7964217476194735E-2</v>
      </c>
      <c r="Q12" s="14">
        <v>0.13581656495357811</v>
      </c>
      <c r="R12" s="14">
        <v>0.2096702233227431</v>
      </c>
      <c r="S12" s="44">
        <v>0.42678312101330801</v>
      </c>
      <c r="T12" s="14">
        <v>5.3714216139983062E-2</v>
      </c>
      <c r="U12" s="14">
        <v>0.15254901480858099</v>
      </c>
      <c r="V12" s="14">
        <v>0.19675977064058819</v>
      </c>
      <c r="W12" s="44">
        <v>0.35211119657104201</v>
      </c>
      <c r="X12" s="31">
        <v>45291</v>
      </c>
      <c r="Y12" s="33">
        <v>9</v>
      </c>
      <c r="Z12" s="33" t="s">
        <v>113</v>
      </c>
      <c r="AA12" s="33" t="s">
        <v>112</v>
      </c>
      <c r="AB12" s="33" t="s">
        <v>114</v>
      </c>
      <c r="AC12" s="33" t="s">
        <v>114</v>
      </c>
      <c r="AD12" s="47" t="s">
        <v>112</v>
      </c>
      <c r="AE12" s="47" t="s">
        <v>29</v>
      </c>
    </row>
    <row r="13" spans="1:31" s="8" customFormat="1" ht="21.75" customHeight="1" x14ac:dyDescent="0.35">
      <c r="A13" s="12" t="s">
        <v>156</v>
      </c>
      <c r="B13" s="13" t="s">
        <v>234</v>
      </c>
      <c r="C13" s="14" t="s">
        <v>112</v>
      </c>
      <c r="D13" s="14" t="s">
        <v>112</v>
      </c>
      <c r="E13" s="14" t="s">
        <v>112</v>
      </c>
      <c r="F13" s="14" t="s">
        <v>112</v>
      </c>
      <c r="G13" s="44" t="s">
        <v>112</v>
      </c>
      <c r="H13" s="14">
        <v>8.4584883827745871E-2</v>
      </c>
      <c r="I13" s="14">
        <v>0.14646405689700395</v>
      </c>
      <c r="J13" s="14">
        <v>0.2823021773765268</v>
      </c>
      <c r="K13" s="44">
        <v>0.5775129108107897</v>
      </c>
      <c r="L13" s="14">
        <v>6.754345293512154E-2</v>
      </c>
      <c r="M13" s="14">
        <v>0.1426230690368781</v>
      </c>
      <c r="N13" s="14">
        <v>0.27309941520467829</v>
      </c>
      <c r="O13" s="44">
        <v>0.47358013953308498</v>
      </c>
      <c r="P13" s="14">
        <v>0.18263036167037328</v>
      </c>
      <c r="Q13" s="14">
        <v>0.12239041121802711</v>
      </c>
      <c r="R13" s="14">
        <v>0.17011980512162561</v>
      </c>
      <c r="S13" s="44">
        <v>1.4921950163647568</v>
      </c>
      <c r="T13" s="14">
        <v>0.18857740590216565</v>
      </c>
      <c r="U13" s="14">
        <v>0.13342576451111024</v>
      </c>
      <c r="V13" s="14">
        <v>0.17011980512162561</v>
      </c>
      <c r="W13" s="44">
        <v>1.4133507616998737</v>
      </c>
      <c r="X13" s="31" t="s">
        <v>112</v>
      </c>
      <c r="Y13" s="33">
        <v>6</v>
      </c>
      <c r="Z13" s="33" t="s">
        <v>32</v>
      </c>
      <c r="AA13" s="33" t="s">
        <v>32</v>
      </c>
      <c r="AB13" s="33" t="s">
        <v>32</v>
      </c>
      <c r="AC13" s="33" t="s">
        <v>32</v>
      </c>
      <c r="AD13" s="47" t="s">
        <v>32</v>
      </c>
      <c r="AE13" s="47" t="s">
        <v>31</v>
      </c>
    </row>
    <row r="14" spans="1:31" s="8" customFormat="1" ht="21.75" customHeight="1" x14ac:dyDescent="0.35">
      <c r="A14" s="12" t="s">
        <v>48</v>
      </c>
      <c r="B14" s="13" t="s">
        <v>235</v>
      </c>
      <c r="C14" s="14" t="s">
        <v>112</v>
      </c>
      <c r="D14" s="14" t="s">
        <v>112</v>
      </c>
      <c r="E14" s="14" t="s">
        <v>112</v>
      </c>
      <c r="F14" s="14" t="s">
        <v>112</v>
      </c>
      <c r="G14" s="44" t="s">
        <v>112</v>
      </c>
      <c r="H14" s="14">
        <v>9.398397879620024E-2</v>
      </c>
      <c r="I14" s="14">
        <v>0.12280025455697914</v>
      </c>
      <c r="J14" s="14">
        <v>0.27565543071161042</v>
      </c>
      <c r="K14" s="44">
        <v>0.76534026037048486</v>
      </c>
      <c r="L14" s="14">
        <v>0.11714846560402581</v>
      </c>
      <c r="M14" s="14">
        <v>0.10501153059340558</v>
      </c>
      <c r="N14" s="14">
        <v>0.12098548174219091</v>
      </c>
      <c r="O14" s="44">
        <v>1.1155771651173552</v>
      </c>
      <c r="P14" s="14">
        <v>0.12936290575559495</v>
      </c>
      <c r="Q14" s="14">
        <v>9.6322846197359743E-2</v>
      </c>
      <c r="R14" s="14">
        <v>0.12098548174219091</v>
      </c>
      <c r="S14" s="44">
        <v>1.3430137383039751</v>
      </c>
      <c r="T14" s="14">
        <v>3.3953884530066647E-2</v>
      </c>
      <c r="U14" s="14">
        <v>0.11975835380298079</v>
      </c>
      <c r="V14" s="14">
        <v>0.12098548174219091</v>
      </c>
      <c r="W14" s="44">
        <v>0.28351996709912636</v>
      </c>
      <c r="X14" s="31" t="s">
        <v>112</v>
      </c>
      <c r="Y14" s="33">
        <v>8</v>
      </c>
      <c r="Z14" s="33" t="s">
        <v>114</v>
      </c>
      <c r="AA14" s="33" t="s">
        <v>112</v>
      </c>
      <c r="AB14" s="33" t="s">
        <v>114</v>
      </c>
      <c r="AC14" s="33" t="s">
        <v>114</v>
      </c>
      <c r="AD14" s="47" t="s">
        <v>112</v>
      </c>
      <c r="AE14" s="47" t="s">
        <v>33</v>
      </c>
    </row>
    <row r="15" spans="1:31" s="8" customFormat="1" ht="21.75" customHeight="1" x14ac:dyDescent="0.35">
      <c r="A15" s="12" t="s">
        <v>75</v>
      </c>
      <c r="B15" s="13" t="s">
        <v>194</v>
      </c>
      <c r="C15" s="14" t="s">
        <v>112</v>
      </c>
      <c r="D15" s="14" t="s">
        <v>112</v>
      </c>
      <c r="E15" s="14" t="s">
        <v>112</v>
      </c>
      <c r="F15" s="14" t="s">
        <v>112</v>
      </c>
      <c r="G15" s="44" t="s">
        <v>112</v>
      </c>
      <c r="H15" s="14">
        <v>6.9979162844961751E-2</v>
      </c>
      <c r="I15" s="14">
        <v>0.16672774032003471</v>
      </c>
      <c r="J15" s="14">
        <v>0.39584120982986765</v>
      </c>
      <c r="K15" s="44">
        <v>0.41972117363695094</v>
      </c>
      <c r="L15" s="14">
        <v>0.11661624722741015</v>
      </c>
      <c r="M15" s="14">
        <v>0.13156236388545975</v>
      </c>
      <c r="N15" s="14">
        <v>0.16147164026571284</v>
      </c>
      <c r="O15" s="44">
        <v>0.88639519527741295</v>
      </c>
      <c r="P15" s="14">
        <v>0.11348853897249822</v>
      </c>
      <c r="Q15" s="14">
        <v>0.12246547260839742</v>
      </c>
      <c r="R15" s="14">
        <v>0.16147164026571284</v>
      </c>
      <c r="S15" s="44">
        <v>0.92669824853732974</v>
      </c>
      <c r="T15" s="14">
        <v>8.7548628986276356E-2</v>
      </c>
      <c r="U15" s="14">
        <v>0.15466425111365106</v>
      </c>
      <c r="V15" s="14">
        <v>0.16147164026571284</v>
      </c>
      <c r="W15" s="44">
        <v>0.56605601071926759</v>
      </c>
      <c r="X15" s="31">
        <v>45838</v>
      </c>
      <c r="Y15" s="33">
        <v>8</v>
      </c>
      <c r="Z15" s="33" t="s">
        <v>114</v>
      </c>
      <c r="AA15" s="33" t="s">
        <v>114</v>
      </c>
      <c r="AB15" s="33" t="s">
        <v>114</v>
      </c>
      <c r="AC15" s="33" t="s">
        <v>114</v>
      </c>
      <c r="AD15" s="47" t="s">
        <v>114</v>
      </c>
      <c r="AE15" s="47" t="s">
        <v>33</v>
      </c>
    </row>
    <row r="16" spans="1:31" s="8" customFormat="1" ht="21.75" customHeight="1" x14ac:dyDescent="0.35">
      <c r="A16" s="12" t="s">
        <v>49</v>
      </c>
      <c r="B16" s="13" t="s">
        <v>119</v>
      </c>
      <c r="C16" s="14">
        <v>9.6773059155872421E-2</v>
      </c>
      <c r="D16" s="14">
        <v>4.2742030940594056</v>
      </c>
      <c r="E16" s="14">
        <v>0.15958359351832879</v>
      </c>
      <c r="F16" s="14">
        <v>0.42608217821782179</v>
      </c>
      <c r="G16" s="44">
        <v>0.60640982586194025</v>
      </c>
      <c r="H16" s="14">
        <v>0.11860733532510537</v>
      </c>
      <c r="I16" s="14">
        <v>0.15521987211134017</v>
      </c>
      <c r="J16" s="14">
        <v>0.32280182232346238</v>
      </c>
      <c r="K16" s="44">
        <v>0.76412468140695022</v>
      </c>
      <c r="L16" s="14">
        <v>0.14357383137853708</v>
      </c>
      <c r="M16" s="14">
        <v>0.14126279795375593</v>
      </c>
      <c r="N16" s="14">
        <v>0.21353700943864884</v>
      </c>
      <c r="O16" s="44">
        <v>1.0163598163016543</v>
      </c>
      <c r="P16" s="14">
        <v>0.17577540381539669</v>
      </c>
      <c r="Q16" s="14">
        <v>0.13234567052299348</v>
      </c>
      <c r="R16" s="14">
        <v>0.21353700943864884</v>
      </c>
      <c r="S16" s="44">
        <v>1.3281537893969702</v>
      </c>
      <c r="T16" s="14">
        <v>0.10830689332158094</v>
      </c>
      <c r="U16" s="14">
        <v>0.16012119669861652</v>
      </c>
      <c r="V16" s="14">
        <v>0.21353700943864884</v>
      </c>
      <c r="W16" s="44">
        <v>0.67640571988378562</v>
      </c>
      <c r="X16" s="31">
        <v>43465</v>
      </c>
      <c r="Y16" s="33">
        <v>8</v>
      </c>
      <c r="Z16" s="33" t="s">
        <v>113</v>
      </c>
      <c r="AA16" s="33" t="s">
        <v>112</v>
      </c>
      <c r="AB16" s="33" t="s">
        <v>114</v>
      </c>
      <c r="AC16" s="33" t="s">
        <v>114</v>
      </c>
      <c r="AD16" s="47" t="s">
        <v>112</v>
      </c>
      <c r="AE16" s="47" t="s">
        <v>33</v>
      </c>
    </row>
    <row r="17" spans="1:31" s="8" customFormat="1" ht="21.75" customHeight="1" x14ac:dyDescent="0.35">
      <c r="A17" s="12" t="s">
        <v>70</v>
      </c>
      <c r="B17" s="13" t="s">
        <v>120</v>
      </c>
      <c r="C17" s="14">
        <v>7.5320246503834065E-2</v>
      </c>
      <c r="D17" s="14">
        <v>2.6959321142364958</v>
      </c>
      <c r="E17" s="14">
        <v>0.17085410372651724</v>
      </c>
      <c r="F17" s="14">
        <v>0.48669950738916312</v>
      </c>
      <c r="G17" s="44">
        <v>0.440845404710897</v>
      </c>
      <c r="H17" s="14">
        <v>9.3889159041142367E-2</v>
      </c>
      <c r="I17" s="14">
        <v>0.15936205914768029</v>
      </c>
      <c r="J17" s="14">
        <v>0.3313341292001914</v>
      </c>
      <c r="K17" s="44">
        <v>0.58915628690600441</v>
      </c>
      <c r="L17" s="14">
        <v>0.11374634845124176</v>
      </c>
      <c r="M17" s="14">
        <v>0.14934934505289169</v>
      </c>
      <c r="N17" s="14">
        <v>0.21142425106336804</v>
      </c>
      <c r="O17" s="44">
        <v>0.76161263653991107</v>
      </c>
      <c r="P17" s="14">
        <v>0.13045889563086432</v>
      </c>
      <c r="Q17" s="14">
        <v>0.13777597094979285</v>
      </c>
      <c r="R17" s="14">
        <v>0.21142425106336804</v>
      </c>
      <c r="S17" s="44">
        <v>0.94689149879702206</v>
      </c>
      <c r="T17" s="14">
        <v>7.925773941249048E-3</v>
      </c>
      <c r="U17" s="14">
        <v>0.16326959040026373</v>
      </c>
      <c r="V17" s="14">
        <v>0.20859007468187174</v>
      </c>
      <c r="W17" s="44">
        <v>4.8544091534857219E-2</v>
      </c>
      <c r="X17" s="31">
        <v>44561</v>
      </c>
      <c r="Y17" s="33">
        <v>8</v>
      </c>
      <c r="Z17" s="33" t="s">
        <v>113</v>
      </c>
      <c r="AA17" s="33" t="s">
        <v>112</v>
      </c>
      <c r="AB17" s="33" t="s">
        <v>114</v>
      </c>
      <c r="AC17" s="33" t="s">
        <v>114</v>
      </c>
      <c r="AD17" s="47" t="s">
        <v>112</v>
      </c>
      <c r="AE17" s="47" t="s">
        <v>33</v>
      </c>
    </row>
    <row r="18" spans="1:31" s="8" customFormat="1" ht="21.75" customHeight="1" x14ac:dyDescent="0.35">
      <c r="A18" s="12" t="s">
        <v>50</v>
      </c>
      <c r="B18" s="13" t="s">
        <v>88</v>
      </c>
      <c r="C18" s="14">
        <v>6.6504802689814069E-2</v>
      </c>
      <c r="D18" s="14">
        <v>2.1869038300251602</v>
      </c>
      <c r="E18" s="14">
        <v>0.14630073430661528</v>
      </c>
      <c r="F18" s="14">
        <v>0.47973161867486724</v>
      </c>
      <c r="G18" s="44">
        <v>0.45457600062645021</v>
      </c>
      <c r="H18" s="14">
        <v>7.9543778695205569E-2</v>
      </c>
      <c r="I18" s="14">
        <v>0.13647089677102325</v>
      </c>
      <c r="J18" s="14">
        <v>0.33159459339398556</v>
      </c>
      <c r="K18" s="44">
        <v>0.58286257786279183</v>
      </c>
      <c r="L18" s="14">
        <v>9.5253800276213774E-2</v>
      </c>
      <c r="M18" s="14">
        <v>0.1180557120757952</v>
      </c>
      <c r="N18" s="14">
        <v>0.20075097110024007</v>
      </c>
      <c r="O18" s="44">
        <v>0.80685465024392944</v>
      </c>
      <c r="P18" s="14">
        <v>0.13763442814877469</v>
      </c>
      <c r="Q18" s="14">
        <v>0.10517147093289077</v>
      </c>
      <c r="R18" s="14">
        <v>0.16969925647927611</v>
      </c>
      <c r="S18" s="44">
        <v>1.3086669505326052</v>
      </c>
      <c r="T18" s="14">
        <v>0.10330538058062522</v>
      </c>
      <c r="U18" s="14">
        <v>0.11942291164067814</v>
      </c>
      <c r="V18" s="14">
        <v>0.16969925647927611</v>
      </c>
      <c r="W18" s="44">
        <v>0.86503820047071323</v>
      </c>
      <c r="X18" s="31">
        <v>42370</v>
      </c>
      <c r="Y18" s="33">
        <v>8</v>
      </c>
      <c r="Z18" s="33" t="s">
        <v>32</v>
      </c>
      <c r="AA18" s="33" t="s">
        <v>32</v>
      </c>
      <c r="AB18" s="33" t="s">
        <v>32</v>
      </c>
      <c r="AC18" s="33" t="s">
        <v>32</v>
      </c>
      <c r="AD18" s="47" t="s">
        <v>32</v>
      </c>
      <c r="AE18" s="47" t="s">
        <v>31</v>
      </c>
    </row>
    <row r="19" spans="1:31" s="8" customFormat="1" ht="21.75" customHeight="1" x14ac:dyDescent="0.35">
      <c r="A19" s="12" t="s">
        <v>59</v>
      </c>
      <c r="B19" s="13" t="s">
        <v>236</v>
      </c>
      <c r="C19" s="14">
        <v>9.4687309196351155E-2</v>
      </c>
      <c r="D19" s="14">
        <v>4.0965382103200518</v>
      </c>
      <c r="E19" s="14">
        <v>0.19773190241431843</v>
      </c>
      <c r="F19" s="14">
        <v>0.36773350751143041</v>
      </c>
      <c r="G19" s="44">
        <v>0.47886713292196864</v>
      </c>
      <c r="H19" s="14">
        <v>7.8229929856943992E-2</v>
      </c>
      <c r="I19" s="14">
        <v>0.19132702283962502</v>
      </c>
      <c r="J19" s="14">
        <v>0.33503334641035698</v>
      </c>
      <c r="K19" s="44">
        <v>0.40888071478809468</v>
      </c>
      <c r="L19" s="14">
        <v>4.5419582384280677E-2</v>
      </c>
      <c r="M19" s="14">
        <v>0.19939348050786757</v>
      </c>
      <c r="N19" s="14">
        <v>0.30322920659256414</v>
      </c>
      <c r="O19" s="44">
        <v>0.22778870336479498</v>
      </c>
      <c r="P19" s="14">
        <v>9.8638641200081034E-2</v>
      </c>
      <c r="Q19" s="14">
        <v>0.19326174470638802</v>
      </c>
      <c r="R19" s="14">
        <v>0.25687180734614445</v>
      </c>
      <c r="S19" s="44">
        <v>0.51038885812573676</v>
      </c>
      <c r="T19" s="14">
        <v>-6.9434955368341322E-2</v>
      </c>
      <c r="U19" s="14">
        <v>0.24119177267205241</v>
      </c>
      <c r="V19" s="14">
        <v>0.25687180734614445</v>
      </c>
      <c r="W19" s="44">
        <v>-0.28788276896472659</v>
      </c>
      <c r="X19" s="31">
        <v>42369</v>
      </c>
      <c r="Y19" s="33">
        <v>8</v>
      </c>
      <c r="Z19" s="33" t="s">
        <v>114</v>
      </c>
      <c r="AA19" s="33" t="s">
        <v>114</v>
      </c>
      <c r="AB19" s="33" t="s">
        <v>114</v>
      </c>
      <c r="AC19" s="33" t="s">
        <v>114</v>
      </c>
      <c r="AD19" s="47" t="s">
        <v>114</v>
      </c>
      <c r="AE19" s="47" t="s">
        <v>33</v>
      </c>
    </row>
    <row r="20" spans="1:31" s="8" customFormat="1" ht="21.75" customHeight="1" x14ac:dyDescent="0.35">
      <c r="A20" s="12" t="s">
        <v>42</v>
      </c>
      <c r="B20" s="13" t="s">
        <v>45</v>
      </c>
      <c r="C20" s="14">
        <v>8.7820718842441359E-2</v>
      </c>
      <c r="D20" s="14">
        <v>3.550738875476986</v>
      </c>
      <c r="E20" s="14">
        <v>0.16838520840910309</v>
      </c>
      <c r="F20" s="14">
        <v>0.50183007553928927</v>
      </c>
      <c r="G20" s="44">
        <v>0.52154651630133131</v>
      </c>
      <c r="H20" s="14">
        <v>9.7750202732428182E-2</v>
      </c>
      <c r="I20" s="14">
        <v>0.15281858662793898</v>
      </c>
      <c r="J20" s="14">
        <v>0.38360582805027243</v>
      </c>
      <c r="K20" s="44">
        <v>0.6396486506606458</v>
      </c>
      <c r="L20" s="14">
        <v>0.15126346357158349</v>
      </c>
      <c r="M20" s="14">
        <v>0.12525244977214667</v>
      </c>
      <c r="N20" s="14">
        <v>0.13644944990560515</v>
      </c>
      <c r="O20" s="44">
        <v>1.207668703061336</v>
      </c>
      <c r="P20" s="14">
        <v>0.14814245898372014</v>
      </c>
      <c r="Q20" s="14">
        <v>0.10632272753721295</v>
      </c>
      <c r="R20" s="14">
        <v>0.13644944990560515</v>
      </c>
      <c r="S20" s="44">
        <v>1.3933282414323906</v>
      </c>
      <c r="T20" s="14">
        <v>0.1866983198570018</v>
      </c>
      <c r="U20" s="14">
        <v>0.11687528059466287</v>
      </c>
      <c r="V20" s="14">
        <v>0.13644944990560515</v>
      </c>
      <c r="W20" s="44">
        <v>1.5974149444354566</v>
      </c>
      <c r="X20" s="31">
        <v>42916</v>
      </c>
      <c r="Y20" s="33">
        <v>8</v>
      </c>
      <c r="Z20" s="33" t="s">
        <v>114</v>
      </c>
      <c r="AA20" s="33" t="s">
        <v>114</v>
      </c>
      <c r="AB20" s="33" t="s">
        <v>114</v>
      </c>
      <c r="AC20" s="33" t="s">
        <v>114</v>
      </c>
      <c r="AD20" s="47" t="s">
        <v>114</v>
      </c>
      <c r="AE20" s="47" t="s">
        <v>33</v>
      </c>
    </row>
    <row r="21" spans="1:31" s="8" customFormat="1" ht="21.75" customHeight="1" x14ac:dyDescent="0.35">
      <c r="A21" s="12" t="s">
        <v>157</v>
      </c>
      <c r="B21" s="13" t="s">
        <v>195</v>
      </c>
      <c r="C21" s="14">
        <v>6.1167709492460531E-2</v>
      </c>
      <c r="D21" s="14">
        <v>1.9117076616893143</v>
      </c>
      <c r="E21" s="14">
        <v>0.14359058663959295</v>
      </c>
      <c r="F21" s="14">
        <v>0.49056770879461514</v>
      </c>
      <c r="G21" s="44">
        <v>0.42598690432255992</v>
      </c>
      <c r="H21" s="14">
        <v>7.998147123845567E-2</v>
      </c>
      <c r="I21" s="14">
        <v>0.1212263162018406</v>
      </c>
      <c r="J21" s="14">
        <v>0.32173460209250571</v>
      </c>
      <c r="K21" s="44">
        <v>0.65976987294810907</v>
      </c>
      <c r="L21" s="14">
        <v>0.11291029249340068</v>
      </c>
      <c r="M21" s="14">
        <v>0.12079579126582453</v>
      </c>
      <c r="N21" s="14">
        <v>0.19998229461756356</v>
      </c>
      <c r="O21" s="44">
        <v>0.9347204179070201</v>
      </c>
      <c r="P21" s="14">
        <v>0.15006199142879328</v>
      </c>
      <c r="Q21" s="14">
        <v>0.11485972569359777</v>
      </c>
      <c r="R21" s="14">
        <v>0.19998229461756356</v>
      </c>
      <c r="S21" s="44">
        <v>1.3064804962977348</v>
      </c>
      <c r="T21" s="14">
        <v>7.5609628687321795E-2</v>
      </c>
      <c r="U21" s="14">
        <v>0.14792543812008715</v>
      </c>
      <c r="V21" s="14">
        <v>0.19998229461756356</v>
      </c>
      <c r="W21" s="44">
        <v>0.51113337670794146</v>
      </c>
      <c r="X21" s="31" t="s">
        <v>112</v>
      </c>
      <c r="Y21" s="33">
        <v>8</v>
      </c>
      <c r="Z21" s="33" t="s">
        <v>114</v>
      </c>
      <c r="AA21" s="33" t="s">
        <v>114</v>
      </c>
      <c r="AB21" s="33" t="s">
        <v>114</v>
      </c>
      <c r="AC21" s="33" t="s">
        <v>114</v>
      </c>
      <c r="AD21" s="47" t="s">
        <v>114</v>
      </c>
      <c r="AE21" s="47" t="s">
        <v>54</v>
      </c>
    </row>
    <row r="22" spans="1:31" s="8" customFormat="1" ht="21.75" customHeight="1" x14ac:dyDescent="0.35">
      <c r="A22" s="12" t="s">
        <v>60</v>
      </c>
      <c r="B22" s="13" t="s">
        <v>89</v>
      </c>
      <c r="C22" s="14">
        <v>9.0221339022351854E-2</v>
      </c>
      <c r="D22" s="14">
        <v>3.734951813307565</v>
      </c>
      <c r="E22" s="14">
        <v>0.16235156024187783</v>
      </c>
      <c r="F22" s="14">
        <v>0.48546703038284261</v>
      </c>
      <c r="G22" s="44">
        <v>0.55571587293609315</v>
      </c>
      <c r="H22" s="14">
        <v>0.11185330133729487</v>
      </c>
      <c r="I22" s="14">
        <v>0.15350288905526438</v>
      </c>
      <c r="J22" s="14">
        <v>0.33757219726514293</v>
      </c>
      <c r="K22" s="44">
        <v>0.72867228770544668</v>
      </c>
      <c r="L22" s="14">
        <v>0.12983818951173376</v>
      </c>
      <c r="M22" s="14">
        <v>0.13996957195059034</v>
      </c>
      <c r="N22" s="14">
        <v>0.20304114983481608</v>
      </c>
      <c r="O22" s="44">
        <v>0.92761725068050516</v>
      </c>
      <c r="P22" s="14">
        <v>0.17267762190198011</v>
      </c>
      <c r="Q22" s="14">
        <v>0.1286973687138048</v>
      </c>
      <c r="R22" s="14">
        <v>0.20304114983481608</v>
      </c>
      <c r="S22" s="44">
        <v>1.3417338957875502</v>
      </c>
      <c r="T22" s="14">
        <v>6.6576320162370584E-2</v>
      </c>
      <c r="U22" s="14">
        <v>0.15586441860229547</v>
      </c>
      <c r="V22" s="14">
        <v>0.20304114983481608</v>
      </c>
      <c r="W22" s="44">
        <v>0.42714251757642713</v>
      </c>
      <c r="X22" s="31">
        <v>41640</v>
      </c>
      <c r="Y22" s="33">
        <v>6</v>
      </c>
      <c r="Z22" s="33" t="s">
        <v>114</v>
      </c>
      <c r="AA22" s="33" t="s">
        <v>112</v>
      </c>
      <c r="AB22" s="33" t="s">
        <v>114</v>
      </c>
      <c r="AC22" s="33" t="s">
        <v>114</v>
      </c>
      <c r="AD22" s="47" t="s">
        <v>112</v>
      </c>
      <c r="AE22" s="47" t="s">
        <v>33</v>
      </c>
    </row>
    <row r="23" spans="1:31" s="1" customFormat="1" ht="21.75" customHeight="1" x14ac:dyDescent="0.35">
      <c r="A23" s="12"/>
      <c r="B23" s="13"/>
      <c r="C23" s="14"/>
      <c r="D23" s="14"/>
      <c r="E23" s="14"/>
      <c r="F23" s="14"/>
      <c r="G23" s="44"/>
      <c r="H23" s="14"/>
      <c r="I23" s="14"/>
      <c r="J23" s="14"/>
      <c r="K23" s="44"/>
      <c r="L23" s="14"/>
      <c r="M23" s="14"/>
      <c r="N23" s="14"/>
      <c r="O23" s="44"/>
      <c r="P23" s="14"/>
      <c r="Q23" s="14"/>
      <c r="R23" s="14"/>
      <c r="S23" s="44"/>
      <c r="T23" s="14"/>
      <c r="U23" s="14"/>
      <c r="V23" s="14"/>
      <c r="W23" s="44"/>
      <c r="X23" s="31"/>
      <c r="Y23" s="33"/>
      <c r="Z23" s="33"/>
      <c r="AA23" s="33"/>
      <c r="AB23" s="33"/>
      <c r="AC23" s="33"/>
      <c r="AD23" s="47"/>
      <c r="AE23" s="47"/>
    </row>
    <row r="24" spans="1:31" ht="21.75" customHeight="1" x14ac:dyDescent="0.35">
      <c r="A24" s="36" t="s">
        <v>2</v>
      </c>
      <c r="B24" s="36" t="s">
        <v>3</v>
      </c>
      <c r="C24" s="37">
        <f>AVERAGE(Table1[Performance annualisée depuis 01/08])</f>
        <v>8.0603160870639179E-2</v>
      </c>
      <c r="D24" s="37">
        <f>AVERAGE(Table1[Perf. Totale depuis 01/08])</f>
        <v>3.1068743845214493</v>
      </c>
      <c r="E24" s="37">
        <f>AVERAGE(Table1[Volatilité annualisée depuis 01/08])</f>
        <v>0.16174204720908431</v>
      </c>
      <c r="F24" s="37">
        <f>AVERAGE(Table1[Max Drawdown depuis 01/08])</f>
        <v>0.47888788710522073</v>
      </c>
      <c r="G24" s="42">
        <f>AVERAGE(Table1[Couple Rendement / Risque depuis 01/08])</f>
        <v>0.50192953525351924</v>
      </c>
      <c r="H24" s="37">
        <f>AVERAGE(Table1[Performance annualisée 10 ans])</f>
        <v>9.3359788564759183E-2</v>
      </c>
      <c r="I24" s="37">
        <f>AVERAGE(Table1[Volatilité annualisée 10 ans])</f>
        <v>0.14903100783325629</v>
      </c>
      <c r="J24" s="37">
        <f>AVERAGE(Table1[Max Drawdown 10 ans])</f>
        <v>0.32510169706080672</v>
      </c>
      <c r="K24" s="42">
        <f>AVERAGE(Table1[Couple Rendement Risque 10 ans])</f>
        <v>0.63517149151204455</v>
      </c>
      <c r="L24" s="37">
        <f>AVERAGE(Table1[Performance annualisée 5 ans])</f>
        <v>0.10513637774079873</v>
      </c>
      <c r="M24" s="37">
        <f>AVERAGE(Table1[Volatilité annualisée 5 ans])</f>
        <v>0.13646261314693128</v>
      </c>
      <c r="N24" s="37">
        <f>AVERAGE(Table1[Max Drawdown 5 ans])</f>
        <v>0.21191193022354823</v>
      </c>
      <c r="O24" s="42">
        <f>AVERAGE(Table1[Couple Rendement Risque 5 ans])</f>
        <v>0.78633420503745854</v>
      </c>
      <c r="P24" s="37">
        <f>AVERAGE(Table1[Performance annualisée 3 ans])</f>
        <v>0.14721974848491401</v>
      </c>
      <c r="Q24" s="37">
        <f>AVERAGE(Table1[Volatilité annualisée 3 ans])</f>
        <v>0.12588572495926992</v>
      </c>
      <c r="R24" s="37">
        <f>AVERAGE(Table1[Max Drawdown 3 ans])</f>
        <v>0.1890359019384435</v>
      </c>
      <c r="S24" s="42">
        <f>AVERAGE(Table1[Couple Rendement Risque 3 ans])</f>
        <v>1.1919884280437854</v>
      </c>
      <c r="T24" s="37">
        <f>AVERAGE(Table1[Performance annualisée 1 an])</f>
        <v>8.8967743951259004E-2</v>
      </c>
      <c r="U24" s="37">
        <f>AVERAGE(Table1[Volatilité annualisée 1 an])</f>
        <v>0.14846443309437482</v>
      </c>
      <c r="V24" s="37">
        <f>AVERAGE(Table1[Max Drawdown 1 an])</f>
        <v>0.18820723725088295</v>
      </c>
      <c r="W24" s="42">
        <f>AVERAGE(Table1[Couple Rendement Risque 1 an])</f>
        <v>0.6524376629980253</v>
      </c>
      <c r="X24" s="38"/>
      <c r="Y24" s="37"/>
      <c r="Z24" s="37"/>
      <c r="AA24" s="37"/>
      <c r="AB24" s="37"/>
      <c r="AC24" s="37"/>
      <c r="AD24" s="37"/>
      <c r="AE24" s="37"/>
    </row>
    <row r="25" spans="1:31" ht="21.75" customHeight="1" x14ac:dyDescent="0.35">
      <c r="A25" s="7"/>
      <c r="AD25" s="1"/>
      <c r="AE25" s="1"/>
    </row>
    <row r="26" spans="1:31" ht="21.75" customHeight="1" x14ac:dyDescent="0.35">
      <c r="E26" s="2"/>
      <c r="F26" s="2"/>
    </row>
    <row r="27" spans="1:31" ht="21.75" customHeight="1" x14ac:dyDescent="0.35">
      <c r="C27" s="29"/>
      <c r="D27" s="29"/>
      <c r="E27" s="29"/>
      <c r="F27" s="29"/>
      <c r="G27" s="26"/>
      <c r="H27" s="29"/>
      <c r="I27" s="29"/>
      <c r="J27" s="29"/>
      <c r="K27" s="26"/>
      <c r="L27" s="29"/>
      <c r="M27" s="29"/>
      <c r="N27" s="29"/>
      <c r="O27" s="26"/>
      <c r="P27" s="29"/>
      <c r="Q27" s="29"/>
      <c r="R27" s="29"/>
      <c r="S27" s="26"/>
      <c r="T27" s="29"/>
      <c r="U27" s="29"/>
      <c r="V27" s="29"/>
      <c r="W27" s="26"/>
    </row>
    <row r="28" spans="1:31" x14ac:dyDescent="0.35">
      <c r="E28" s="2"/>
      <c r="F28" s="2"/>
    </row>
    <row r="29" spans="1:31" x14ac:dyDescent="0.35">
      <c r="E29" s="2"/>
      <c r="F29" s="2"/>
      <c r="AB29" s="6"/>
    </row>
    <row r="30" spans="1:31" x14ac:dyDescent="0.35">
      <c r="E30" s="2"/>
      <c r="F30" s="2"/>
    </row>
    <row r="31" spans="1:31" x14ac:dyDescent="0.35">
      <c r="E31" s="2"/>
      <c r="F31" s="2"/>
    </row>
    <row r="32" spans="1:31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</sheetData>
  <sheetProtection selectLockedCells="1"/>
  <phoneticPr fontId="23" type="noConversion"/>
  <conditionalFormatting sqref="C4:C23">
    <cfRule type="iconSet" priority="506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3">
    <cfRule type="iconSet" priority="507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23">
    <cfRule type="iconSet" priority="507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3">
    <cfRule type="iconSet" priority="507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3">
    <cfRule type="iconSet" priority="507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32:X32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23">
    <cfRule type="iconSet" priority="507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23">
    <cfRule type="iconSet" priority="508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3">
    <cfRule type="iconSet" priority="508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23">
    <cfRule type="iconSet" priority="508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3">
    <cfRule type="iconSet" priority="508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3">
    <cfRule type="iconSet" priority="508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3">
    <cfRule type="iconSet" priority="509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23">
    <cfRule type="iconSet" priority="509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3">
    <cfRule type="iconSet" priority="509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3">
    <cfRule type="iconSet" priority="509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3">
    <cfRule type="iconSet" priority="509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23">
    <cfRule type="iconSet" priority="510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23">
    <cfRule type="iconSet" priority="510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23">
    <cfRule type="iconSet" priority="510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23">
    <cfRule type="iconSet" priority="510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23">
    <cfRule type="iconSet" priority="510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>
    <tabColor rgb="FF008000"/>
    <pageSetUpPr fitToPage="1"/>
  </sheetPr>
  <dimension ref="A1:AE44"/>
  <sheetViews>
    <sheetView showGridLines="0" zoomScale="70" zoomScaleNormal="70" workbookViewId="0">
      <pane xSplit="1" topLeftCell="B1" activePane="topRight" state="frozen"/>
      <selection pane="topRight"/>
    </sheetView>
  </sheetViews>
  <sheetFormatPr baseColWidth="10" defaultColWidth="10.58203125" defaultRowHeight="15.5" outlineLevelCol="1" x14ac:dyDescent="0.35"/>
  <cols>
    <col min="1" max="1" width="16.58203125" style="2" customWidth="1"/>
    <col min="2" max="2" width="35.58203125" style="2" customWidth="1"/>
    <col min="3" max="4" width="13.08203125" style="2" customWidth="1"/>
    <col min="5" max="6" width="13.08203125" style="5" customWidth="1" outlineLevel="1"/>
    <col min="7" max="11" width="13.08203125" style="2" customWidth="1" outlineLevel="1"/>
    <col min="12" max="12" width="13.08203125" style="2" customWidth="1"/>
    <col min="13" max="15" width="13.08203125" style="2" customWidth="1" outlineLevel="1"/>
    <col min="16" max="16" width="13.08203125" style="2" customWidth="1"/>
    <col min="17" max="19" width="13.08203125" style="2" customWidth="1" outlineLevel="1"/>
    <col min="20" max="20" width="13.08203125" style="2" customWidth="1"/>
    <col min="21" max="23" width="13.08203125" style="2" customWidth="1" outlineLevel="1"/>
    <col min="24" max="29" width="13.08203125" style="2" customWidth="1"/>
    <col min="30" max="16384" width="10.58203125" style="2"/>
  </cols>
  <sheetData>
    <row r="1" spans="1:31" s="8" customFormat="1" ht="21" x14ac:dyDescent="0.35">
      <c r="A1" s="18" t="s">
        <v>46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s="1" customFormat="1" ht="21" x14ac:dyDescent="0.5">
      <c r="A2" s="17" t="s">
        <v>15</v>
      </c>
      <c r="B2" s="19" t="s">
        <v>155</v>
      </c>
      <c r="C2" s="20">
        <v>46022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1" customFormat="1" ht="80" customHeight="1" x14ac:dyDescent="0.35">
      <c r="A3" s="11" t="s">
        <v>0</v>
      </c>
      <c r="B3" s="11" t="s">
        <v>1</v>
      </c>
      <c r="C3" s="11" t="s">
        <v>137</v>
      </c>
      <c r="D3" s="11" t="s">
        <v>127</v>
      </c>
      <c r="E3" s="11" t="s">
        <v>4</v>
      </c>
      <c r="F3" s="11" t="s">
        <v>5</v>
      </c>
      <c r="G3" s="11" t="s">
        <v>12</v>
      </c>
      <c r="H3" s="11" t="s">
        <v>23</v>
      </c>
      <c r="I3" s="11" t="s">
        <v>128</v>
      </c>
      <c r="J3" s="11" t="s">
        <v>129</v>
      </c>
      <c r="K3" s="11" t="s">
        <v>24</v>
      </c>
      <c r="L3" s="11" t="s">
        <v>7</v>
      </c>
      <c r="M3" s="11" t="s">
        <v>130</v>
      </c>
      <c r="N3" s="11" t="s">
        <v>131</v>
      </c>
      <c r="O3" s="11" t="s">
        <v>10</v>
      </c>
      <c r="P3" s="11" t="s">
        <v>8</v>
      </c>
      <c r="Q3" s="11" t="s">
        <v>132</v>
      </c>
      <c r="R3" s="11" t="s">
        <v>133</v>
      </c>
      <c r="S3" s="11" t="s">
        <v>134</v>
      </c>
      <c r="T3" s="11" t="s">
        <v>14</v>
      </c>
      <c r="U3" s="11" t="s">
        <v>135</v>
      </c>
      <c r="V3" s="11" t="s">
        <v>136</v>
      </c>
      <c r="W3" s="11" t="s">
        <v>11</v>
      </c>
      <c r="X3" s="11" t="s">
        <v>6</v>
      </c>
      <c r="Y3" s="11" t="s">
        <v>140</v>
      </c>
      <c r="Z3" s="11" t="s">
        <v>141</v>
      </c>
      <c r="AA3" s="11" t="s">
        <v>142</v>
      </c>
      <c r="AB3" s="11" t="s">
        <v>143</v>
      </c>
      <c r="AC3" s="11" t="s">
        <v>144</v>
      </c>
      <c r="AD3" s="11" t="s">
        <v>145</v>
      </c>
      <c r="AE3" s="11" t="s">
        <v>9</v>
      </c>
    </row>
    <row r="4" spans="1:31" s="12" customFormat="1" ht="21" customHeight="1" x14ac:dyDescent="0.35">
      <c r="A4" s="12" t="s">
        <v>47</v>
      </c>
      <c r="B4" s="13" t="s">
        <v>90</v>
      </c>
      <c r="C4" s="21">
        <v>4.3503949679522202E-2</v>
      </c>
      <c r="D4" s="21">
        <v>1.1523805898729296</v>
      </c>
      <c r="E4" s="21">
        <v>0.14510250822311932</v>
      </c>
      <c r="F4" s="21">
        <v>0.45727306375497356</v>
      </c>
      <c r="G4" s="41">
        <v>0.29981528377598837</v>
      </c>
      <c r="H4" s="21">
        <v>4.6408464176194597E-2</v>
      </c>
      <c r="I4" s="21">
        <v>0.18577770160547008</v>
      </c>
      <c r="J4" s="21">
        <v>0.45727306375497356</v>
      </c>
      <c r="K4" s="41">
        <v>0.24980642873250045</v>
      </c>
      <c r="L4" s="21">
        <v>-1.6371963461587313E-2</v>
      </c>
      <c r="M4" s="21">
        <v>0.1922643800707905</v>
      </c>
      <c r="N4" s="21">
        <v>0.45727306375497356</v>
      </c>
      <c r="O4" s="41">
        <v>-8.5153388555692239E-2</v>
      </c>
      <c r="P4" s="21">
        <v>4.1299660439823693E-2</v>
      </c>
      <c r="Q4" s="21">
        <v>0.15997961375126946</v>
      </c>
      <c r="R4" s="21">
        <v>0.21128891279499754</v>
      </c>
      <c r="S4" s="41">
        <v>0.25815577042231719</v>
      </c>
      <c r="T4" s="21">
        <v>9.9420046679525864E-3</v>
      </c>
      <c r="U4" s="21">
        <v>0.17029072270516876</v>
      </c>
      <c r="V4" s="21">
        <v>0.16830435063689828</v>
      </c>
      <c r="W4" s="41">
        <v>5.8382538461391006E-2</v>
      </c>
      <c r="X4" s="31">
        <v>42185</v>
      </c>
      <c r="Y4" s="33">
        <v>6</v>
      </c>
      <c r="Z4" s="33" t="s">
        <v>114</v>
      </c>
      <c r="AA4" s="33" t="s">
        <v>112</v>
      </c>
      <c r="AB4" s="33" t="s">
        <v>114</v>
      </c>
      <c r="AC4" s="33" t="s">
        <v>114</v>
      </c>
      <c r="AD4" s="47" t="s">
        <v>112</v>
      </c>
      <c r="AE4" s="47" t="s">
        <v>29</v>
      </c>
    </row>
    <row r="5" spans="1:31" s="12" customFormat="1" ht="21" customHeight="1" x14ac:dyDescent="0.35">
      <c r="A5" s="12" t="s">
        <v>69</v>
      </c>
      <c r="B5" s="13" t="s">
        <v>196</v>
      </c>
      <c r="C5" s="14" t="s">
        <v>112</v>
      </c>
      <c r="D5" s="14" t="s">
        <v>112</v>
      </c>
      <c r="E5" s="14" t="s">
        <v>112</v>
      </c>
      <c r="F5" s="14" t="s">
        <v>112</v>
      </c>
      <c r="G5" s="44" t="s">
        <v>112</v>
      </c>
      <c r="H5" s="14">
        <v>6.6372099016594133E-2</v>
      </c>
      <c r="I5" s="14">
        <v>0.15164844348672202</v>
      </c>
      <c r="J5" s="14">
        <v>0.3525716529250098</v>
      </c>
      <c r="K5" s="44">
        <v>0.43767082266429935</v>
      </c>
      <c r="L5" s="14">
        <v>4.8765242038828704E-2</v>
      </c>
      <c r="M5" s="14">
        <v>0.14020635275023785</v>
      </c>
      <c r="N5" s="14">
        <v>0.30151612214392476</v>
      </c>
      <c r="O5" s="44">
        <v>0.34781050275017567</v>
      </c>
      <c r="P5" s="14">
        <v>9.3409072070216315E-2</v>
      </c>
      <c r="Q5" s="14">
        <v>0.11902719789627544</v>
      </c>
      <c r="R5" s="14">
        <v>0.14355211081794192</v>
      </c>
      <c r="S5" s="44">
        <v>0.78477082314931346</v>
      </c>
      <c r="T5" s="14">
        <v>0.1774709575743656</v>
      </c>
      <c r="U5" s="14">
        <v>0.1295115157814834</v>
      </c>
      <c r="V5" s="14">
        <v>0.13200713039520592</v>
      </c>
      <c r="W5" s="44">
        <v>1.3703102500460356</v>
      </c>
      <c r="X5" s="31">
        <v>45838</v>
      </c>
      <c r="Y5" s="33">
        <v>6</v>
      </c>
      <c r="Z5" s="33" t="s">
        <v>114</v>
      </c>
      <c r="AA5" s="33" t="s">
        <v>114</v>
      </c>
      <c r="AB5" s="33" t="s">
        <v>114</v>
      </c>
      <c r="AC5" s="33" t="s">
        <v>114</v>
      </c>
      <c r="AD5" s="47" t="s">
        <v>114</v>
      </c>
      <c r="AE5" s="47" t="s">
        <v>31</v>
      </c>
    </row>
    <row r="6" spans="1:31" s="12" customFormat="1" ht="21" customHeight="1" x14ac:dyDescent="0.35">
      <c r="A6" s="12" t="s">
        <v>250</v>
      </c>
      <c r="B6" s="13" t="s">
        <v>258</v>
      </c>
      <c r="C6" s="21" t="s">
        <v>112</v>
      </c>
      <c r="D6" s="21" t="s">
        <v>112</v>
      </c>
      <c r="E6" s="21" t="s">
        <v>112</v>
      </c>
      <c r="F6" s="21" t="s">
        <v>112</v>
      </c>
      <c r="G6" s="41" t="s">
        <v>112</v>
      </c>
      <c r="H6" s="21">
        <v>4.6245858114794869E-2</v>
      </c>
      <c r="I6" s="21">
        <v>0.14436126319435419</v>
      </c>
      <c r="J6" s="21">
        <v>0.46039373166433323</v>
      </c>
      <c r="K6" s="41">
        <v>0.32034811203150715</v>
      </c>
      <c r="L6" s="21">
        <v>-6.6348636257277382E-3</v>
      </c>
      <c r="M6" s="21">
        <v>0.13579117352650297</v>
      </c>
      <c r="N6" s="21">
        <v>0.46039373166433323</v>
      </c>
      <c r="O6" s="41">
        <v>-4.8860787144112738E-2</v>
      </c>
      <c r="P6" s="21">
        <v>6.7835680962360367E-2</v>
      </c>
      <c r="Q6" s="21">
        <v>0.11027419983610537</v>
      </c>
      <c r="R6" s="21">
        <v>0.21145243065911123</v>
      </c>
      <c r="S6" s="41">
        <v>0.61515459702433484</v>
      </c>
      <c r="T6" s="21">
        <v>0.22891945735617902</v>
      </c>
      <c r="U6" s="21">
        <v>0.12401834769638349</v>
      </c>
      <c r="V6" s="21">
        <v>0.12124002455494166</v>
      </c>
      <c r="W6" s="41">
        <v>1.8458515341343686</v>
      </c>
      <c r="X6" s="31">
        <v>42185</v>
      </c>
      <c r="Y6" s="33">
        <v>8</v>
      </c>
      <c r="Z6" s="33" t="s">
        <v>113</v>
      </c>
      <c r="AA6" s="33" t="s">
        <v>114</v>
      </c>
      <c r="AB6" s="33" t="s">
        <v>114</v>
      </c>
      <c r="AC6" s="33" t="s">
        <v>114</v>
      </c>
      <c r="AD6" s="47" t="s">
        <v>114</v>
      </c>
      <c r="AE6" s="47" t="s">
        <v>33</v>
      </c>
    </row>
    <row r="7" spans="1:31" s="12" customFormat="1" ht="21" customHeight="1" x14ac:dyDescent="0.35">
      <c r="A7" s="12" t="s">
        <v>27</v>
      </c>
      <c r="B7" s="13" t="s">
        <v>237</v>
      </c>
      <c r="C7" s="14" t="s">
        <v>112</v>
      </c>
      <c r="D7" s="14" t="s">
        <v>112</v>
      </c>
      <c r="E7" s="14" t="s">
        <v>112</v>
      </c>
      <c r="F7" s="14" t="s">
        <v>112</v>
      </c>
      <c r="G7" s="44" t="s">
        <v>112</v>
      </c>
      <c r="H7" s="14" t="s">
        <v>112</v>
      </c>
      <c r="I7" s="14" t="s">
        <v>112</v>
      </c>
      <c r="J7" s="14" t="s">
        <v>112</v>
      </c>
      <c r="K7" s="44" t="s">
        <v>112</v>
      </c>
      <c r="L7" s="14">
        <v>-6.4274607644725368E-3</v>
      </c>
      <c r="M7" s="14">
        <v>0.1618801604547104</v>
      </c>
      <c r="N7" s="14">
        <v>0.38444717803670803</v>
      </c>
      <c r="O7" s="44">
        <v>-3.9705055557260602E-2</v>
      </c>
      <c r="P7" s="14">
        <v>3.8431196123079214E-2</v>
      </c>
      <c r="Q7" s="14">
        <v>0.14526973592300405</v>
      </c>
      <c r="R7" s="14">
        <v>0.22594010063792472</v>
      </c>
      <c r="S7" s="44">
        <v>0.26455060222212107</v>
      </c>
      <c r="T7" s="14">
        <v>0.16500924610615519</v>
      </c>
      <c r="U7" s="14">
        <v>0.16221920543878751</v>
      </c>
      <c r="V7" s="14">
        <v>0.16056278874422508</v>
      </c>
      <c r="W7" s="44">
        <v>1.0171992006730701</v>
      </c>
      <c r="X7" s="31" t="s">
        <v>112</v>
      </c>
      <c r="Y7" s="33" t="s">
        <v>216</v>
      </c>
      <c r="Z7" s="33" t="s">
        <v>113</v>
      </c>
      <c r="AA7" s="33" t="s">
        <v>114</v>
      </c>
      <c r="AB7" s="33" t="s">
        <v>114</v>
      </c>
      <c r="AC7" s="33" t="s">
        <v>114</v>
      </c>
      <c r="AD7" s="47" t="s">
        <v>114</v>
      </c>
      <c r="AE7" s="47" t="s">
        <v>31</v>
      </c>
    </row>
    <row r="8" spans="1:31" s="12" customFormat="1" ht="21" customHeight="1" x14ac:dyDescent="0.35">
      <c r="A8" s="12" t="s">
        <v>138</v>
      </c>
      <c r="B8" s="13" t="s">
        <v>238</v>
      </c>
      <c r="C8" s="14" t="s">
        <v>112</v>
      </c>
      <c r="D8" s="14" t="s">
        <v>112</v>
      </c>
      <c r="E8" s="14" t="s">
        <v>112</v>
      </c>
      <c r="F8" s="14" t="s">
        <v>112</v>
      </c>
      <c r="G8" s="44" t="s">
        <v>112</v>
      </c>
      <c r="H8" s="14">
        <v>4.4853589407917838E-2</v>
      </c>
      <c r="I8" s="14">
        <v>0.1732872432958735</v>
      </c>
      <c r="J8" s="14">
        <v>0.54713379917184257</v>
      </c>
      <c r="K8" s="44">
        <v>0.25883953460633036</v>
      </c>
      <c r="L8" s="14">
        <v>-3.8398315403422298E-2</v>
      </c>
      <c r="M8" s="14">
        <v>0.18361508248838004</v>
      </c>
      <c r="N8" s="14">
        <v>0.54713379917184257</v>
      </c>
      <c r="O8" s="44">
        <v>-0.2091239721870469</v>
      </c>
      <c r="P8" s="14">
        <v>4.1856189329043225E-2</v>
      </c>
      <c r="Q8" s="14">
        <v>0.15001335673661423</v>
      </c>
      <c r="R8" s="14">
        <v>0.25046849065695775</v>
      </c>
      <c r="S8" s="44">
        <v>0.27901641720165077</v>
      </c>
      <c r="T8" s="14">
        <v>0.12374190362274251</v>
      </c>
      <c r="U8" s="14">
        <v>0.15908862941107979</v>
      </c>
      <c r="V8" s="14">
        <v>0.141851383312249</v>
      </c>
      <c r="W8" s="44">
        <v>0.7778173970120611</v>
      </c>
      <c r="X8" s="31">
        <v>42185</v>
      </c>
      <c r="Y8" s="33">
        <v>8</v>
      </c>
      <c r="Z8" s="33" t="s">
        <v>114</v>
      </c>
      <c r="AA8" s="33" t="s">
        <v>114</v>
      </c>
      <c r="AB8" s="33" t="s">
        <v>114</v>
      </c>
      <c r="AC8" s="33" t="s">
        <v>114</v>
      </c>
      <c r="AD8" s="47" t="s">
        <v>114</v>
      </c>
      <c r="AE8" s="47" t="s">
        <v>31</v>
      </c>
    </row>
    <row r="9" spans="1:31" s="12" customFormat="1" ht="21" customHeight="1" x14ac:dyDescent="0.35">
      <c r="A9" s="12" t="s">
        <v>156</v>
      </c>
      <c r="B9" s="13" t="s">
        <v>197</v>
      </c>
      <c r="C9" s="14" t="s">
        <v>112</v>
      </c>
      <c r="D9" s="14" t="s">
        <v>112</v>
      </c>
      <c r="E9" s="14" t="s">
        <v>112</v>
      </c>
      <c r="F9" s="14" t="s">
        <v>112</v>
      </c>
      <c r="G9" s="44" t="s">
        <v>112</v>
      </c>
      <c r="H9" s="14">
        <v>4.992392123838596E-2</v>
      </c>
      <c r="I9" s="14">
        <v>0.13102617421114532</v>
      </c>
      <c r="J9" s="14">
        <v>0.35382622142349646</v>
      </c>
      <c r="K9" s="44">
        <v>0.38102250591500014</v>
      </c>
      <c r="L9" s="14">
        <v>1.6799469410115009E-2</v>
      </c>
      <c r="M9" s="14">
        <v>0.13148027778796878</v>
      </c>
      <c r="N9" s="14">
        <v>0.35107088354470339</v>
      </c>
      <c r="O9" s="44">
        <v>0.1277717821467233</v>
      </c>
      <c r="P9" s="14">
        <v>4.9715474525623415E-2</v>
      </c>
      <c r="Q9" s="14">
        <v>0.10935104859604862</v>
      </c>
      <c r="R9" s="14">
        <v>0.19311653471177118</v>
      </c>
      <c r="S9" s="44">
        <v>0.45464104061110827</v>
      </c>
      <c r="T9" s="14">
        <v>0.16311389083904304</v>
      </c>
      <c r="U9" s="14">
        <v>0.12113327997884836</v>
      </c>
      <c r="V9" s="14">
        <v>0.11297778018056986</v>
      </c>
      <c r="W9" s="44">
        <v>1.3465654596946859</v>
      </c>
      <c r="X9" s="31" t="s">
        <v>112</v>
      </c>
      <c r="Y9" s="33">
        <v>6</v>
      </c>
      <c r="Z9" s="33" t="s">
        <v>32</v>
      </c>
      <c r="AA9" s="33" t="s">
        <v>32</v>
      </c>
      <c r="AB9" s="33" t="s">
        <v>32</v>
      </c>
      <c r="AC9" s="33" t="s">
        <v>32</v>
      </c>
      <c r="AD9" s="47" t="s">
        <v>32</v>
      </c>
      <c r="AE9" s="47" t="s">
        <v>31</v>
      </c>
    </row>
    <row r="10" spans="1:31" s="12" customFormat="1" ht="21" customHeight="1" x14ac:dyDescent="0.35">
      <c r="A10" s="12" t="s">
        <v>70</v>
      </c>
      <c r="B10" s="13" t="s">
        <v>118</v>
      </c>
      <c r="C10" s="14" t="s">
        <v>112</v>
      </c>
      <c r="D10" s="14" t="s">
        <v>112</v>
      </c>
      <c r="E10" s="14" t="s">
        <v>112</v>
      </c>
      <c r="F10" s="14" t="s">
        <v>112</v>
      </c>
      <c r="G10" s="44" t="s">
        <v>112</v>
      </c>
      <c r="H10" s="14">
        <v>3.8167002551613205E-2</v>
      </c>
      <c r="I10" s="14">
        <v>0.16955932437750787</v>
      </c>
      <c r="J10" s="14">
        <v>0.45088781343271001</v>
      </c>
      <c r="K10" s="44">
        <v>0.22509527383252581</v>
      </c>
      <c r="L10" s="14">
        <v>4.6236213645187707E-3</v>
      </c>
      <c r="M10" s="14">
        <v>0.16750654590655006</v>
      </c>
      <c r="N10" s="14">
        <v>0.40133962786099453</v>
      </c>
      <c r="O10" s="44">
        <v>2.7602630927022011E-2</v>
      </c>
      <c r="P10" s="14">
        <v>5.6460539656551179E-2</v>
      </c>
      <c r="Q10" s="14">
        <v>0.15053745896997586</v>
      </c>
      <c r="R10" s="14">
        <v>0.21666478759575875</v>
      </c>
      <c r="S10" s="44">
        <v>0.37505973624685685</v>
      </c>
      <c r="T10" s="14">
        <v>0.30635747270966363</v>
      </c>
      <c r="U10" s="14">
        <v>0.17676685633491881</v>
      </c>
      <c r="V10" s="14">
        <v>0.16361962625425763</v>
      </c>
      <c r="W10" s="44">
        <v>1.7331160323924666</v>
      </c>
      <c r="X10" s="31">
        <v>42185</v>
      </c>
      <c r="Y10" s="33">
        <v>6</v>
      </c>
      <c r="Z10" s="33" t="s">
        <v>114</v>
      </c>
      <c r="AA10" s="33" t="s">
        <v>112</v>
      </c>
      <c r="AB10" s="33" t="s">
        <v>114</v>
      </c>
      <c r="AC10" s="33" t="s">
        <v>114</v>
      </c>
      <c r="AD10" s="47" t="s">
        <v>112</v>
      </c>
      <c r="AE10" s="47" t="s">
        <v>29</v>
      </c>
    </row>
    <row r="11" spans="1:31" s="12" customFormat="1" ht="21" customHeight="1" x14ac:dyDescent="0.35">
      <c r="A11" s="12" t="s">
        <v>57</v>
      </c>
      <c r="B11" s="13" t="s">
        <v>239</v>
      </c>
      <c r="C11" s="14" t="s">
        <v>112</v>
      </c>
      <c r="D11" s="14" t="s">
        <v>112</v>
      </c>
      <c r="E11" s="14" t="s">
        <v>112</v>
      </c>
      <c r="F11" s="14" t="s">
        <v>112</v>
      </c>
      <c r="G11" s="44" t="s">
        <v>112</v>
      </c>
      <c r="H11" s="14">
        <v>7.2684333977778293E-2</v>
      </c>
      <c r="I11" s="14">
        <v>0.14149624155942761</v>
      </c>
      <c r="J11" s="14">
        <v>0.41954778964190331</v>
      </c>
      <c r="K11" s="44">
        <v>0.51368384896111385</v>
      </c>
      <c r="L11" s="14">
        <v>-7.3080647563528167E-4</v>
      </c>
      <c r="M11" s="14">
        <v>0.15470279276585752</v>
      </c>
      <c r="N11" s="14">
        <v>0.41954778964190331</v>
      </c>
      <c r="O11" s="44">
        <v>-4.7239384795163741E-3</v>
      </c>
      <c r="P11" s="14">
        <v>6.7830753752636364E-2</v>
      </c>
      <c r="Q11" s="14">
        <v>0.13658233756592109</v>
      </c>
      <c r="R11" s="14">
        <v>0.20745890756388952</v>
      </c>
      <c r="S11" s="44">
        <v>0.49662902950315985</v>
      </c>
      <c r="T11" s="14">
        <v>4.1070642997004025E-2</v>
      </c>
      <c r="U11" s="14">
        <v>0.14542095493750765</v>
      </c>
      <c r="V11" s="14">
        <v>0.13416157969930501</v>
      </c>
      <c r="W11" s="44">
        <v>0.28242589257272782</v>
      </c>
      <c r="X11" s="31">
        <v>43646</v>
      </c>
      <c r="Y11" s="33">
        <v>8</v>
      </c>
      <c r="Z11" s="33" t="s">
        <v>114</v>
      </c>
      <c r="AA11" s="33" t="s">
        <v>112</v>
      </c>
      <c r="AB11" s="33" t="s">
        <v>114</v>
      </c>
      <c r="AC11" s="33" t="s">
        <v>114</v>
      </c>
      <c r="AD11" s="47" t="s">
        <v>112</v>
      </c>
      <c r="AE11" s="47" t="s">
        <v>33</v>
      </c>
    </row>
    <row r="12" spans="1:31" s="12" customFormat="1" ht="21" customHeight="1" x14ac:dyDescent="0.35">
      <c r="A12" s="12" t="s">
        <v>58</v>
      </c>
      <c r="B12" s="13" t="s">
        <v>91</v>
      </c>
      <c r="C12" s="14" t="s">
        <v>112</v>
      </c>
      <c r="D12" s="14" t="s">
        <v>112</v>
      </c>
      <c r="E12" s="14" t="s">
        <v>112</v>
      </c>
      <c r="F12" s="14" t="s">
        <v>112</v>
      </c>
      <c r="G12" s="44" t="s">
        <v>112</v>
      </c>
      <c r="H12" s="14">
        <v>6.3553220866536808E-2</v>
      </c>
      <c r="I12" s="14">
        <v>0.12092492678961797</v>
      </c>
      <c r="J12" s="14">
        <v>0.39160594578839991</v>
      </c>
      <c r="K12" s="44">
        <v>0.52555930819048613</v>
      </c>
      <c r="L12" s="14">
        <v>5.4297820462331003E-2</v>
      </c>
      <c r="M12" s="14">
        <v>0.10838994256800409</v>
      </c>
      <c r="N12" s="14">
        <v>0.3080402678611025</v>
      </c>
      <c r="O12" s="44">
        <v>0.50094888119591385</v>
      </c>
      <c r="P12" s="14">
        <v>6.5143812530640721E-2</v>
      </c>
      <c r="Q12" s="14">
        <v>9.2534240933840134E-2</v>
      </c>
      <c r="R12" s="14">
        <v>0.13706929193487319</v>
      </c>
      <c r="S12" s="44">
        <v>0.70399683266669966</v>
      </c>
      <c r="T12" s="14">
        <v>0.15210117498842846</v>
      </c>
      <c r="U12" s="14">
        <v>0.1064281358825107</v>
      </c>
      <c r="V12" s="14">
        <v>9.4915552427867741E-2</v>
      </c>
      <c r="W12" s="44">
        <v>1.4291444055389417</v>
      </c>
      <c r="X12" s="31">
        <v>43830</v>
      </c>
      <c r="Y12" s="33">
        <v>8</v>
      </c>
      <c r="Z12" s="33" t="s">
        <v>114</v>
      </c>
      <c r="AA12" s="33" t="s">
        <v>112</v>
      </c>
      <c r="AB12" s="33" t="s">
        <v>114</v>
      </c>
      <c r="AC12" s="33" t="s">
        <v>114</v>
      </c>
      <c r="AD12" s="47" t="s">
        <v>112</v>
      </c>
      <c r="AE12" s="47" t="s">
        <v>29</v>
      </c>
    </row>
    <row r="13" spans="1:31" s="12" customFormat="1" ht="21" customHeight="1" x14ac:dyDescent="0.35">
      <c r="A13" s="12" t="s">
        <v>50</v>
      </c>
      <c r="B13" s="13" t="s">
        <v>92</v>
      </c>
      <c r="C13" s="14" t="s">
        <v>112</v>
      </c>
      <c r="D13" s="14" t="s">
        <v>112</v>
      </c>
      <c r="E13" s="14" t="s">
        <v>112</v>
      </c>
      <c r="F13" s="14" t="s">
        <v>112</v>
      </c>
      <c r="G13" s="44" t="s">
        <v>112</v>
      </c>
      <c r="H13" s="14">
        <v>6.758326926155811E-2</v>
      </c>
      <c r="I13" s="14">
        <v>0.1599264932013692</v>
      </c>
      <c r="J13" s="14">
        <v>0.40292886997364646</v>
      </c>
      <c r="K13" s="44">
        <v>0.42258957792853985</v>
      </c>
      <c r="L13" s="14">
        <v>1.8732298277819526E-2</v>
      </c>
      <c r="M13" s="14">
        <v>0.15784416706143736</v>
      </c>
      <c r="N13" s="14">
        <v>0.37947765810628759</v>
      </c>
      <c r="O13" s="44">
        <v>0.11867589804904474</v>
      </c>
      <c r="P13" s="14">
        <v>2.6128176948440052E-2</v>
      </c>
      <c r="Q13" s="14">
        <v>0.13372964498542264</v>
      </c>
      <c r="R13" s="14">
        <v>0.22668779435772854</v>
      </c>
      <c r="S13" s="44">
        <v>0.19538059007999448</v>
      </c>
      <c r="T13" s="14">
        <v>0.19009103258271387</v>
      </c>
      <c r="U13" s="14">
        <v>0.15029678543180197</v>
      </c>
      <c r="V13" s="14">
        <v>0.13375539105886827</v>
      </c>
      <c r="W13" s="44">
        <v>1.2647711129455179</v>
      </c>
      <c r="X13" s="31">
        <v>42370</v>
      </c>
      <c r="Y13" s="33">
        <v>8</v>
      </c>
      <c r="Z13" s="33" t="s">
        <v>198</v>
      </c>
      <c r="AA13" s="33" t="s">
        <v>32</v>
      </c>
      <c r="AB13" s="35" t="s">
        <v>32</v>
      </c>
      <c r="AC13" s="33" t="s">
        <v>32</v>
      </c>
      <c r="AD13" s="47" t="s">
        <v>32</v>
      </c>
      <c r="AE13" s="47" t="s">
        <v>31</v>
      </c>
    </row>
    <row r="14" spans="1:31" s="12" customFormat="1" ht="21" customHeight="1" x14ac:dyDescent="0.35">
      <c r="A14" s="12" t="s">
        <v>157</v>
      </c>
      <c r="B14" s="13" t="s">
        <v>150</v>
      </c>
      <c r="C14" s="14">
        <v>9.0687474537656243E-3</v>
      </c>
      <c r="D14" s="14">
        <v>0.17646488038460384</v>
      </c>
      <c r="E14" s="14">
        <v>0.1912267479197374</v>
      </c>
      <c r="F14" s="14">
        <v>0.52199106394861772</v>
      </c>
      <c r="G14" s="44">
        <v>4.7424053132838935E-2</v>
      </c>
      <c r="H14" s="14">
        <v>2.7440769956690758E-2</v>
      </c>
      <c r="I14" s="14">
        <v>0.15771694629889035</v>
      </c>
      <c r="J14" s="14">
        <v>0.52199106394861772</v>
      </c>
      <c r="K14" s="44">
        <v>0.17398745411090821</v>
      </c>
      <c r="L14" s="14">
        <v>2.3789946508216309E-2</v>
      </c>
      <c r="M14" s="14">
        <v>0.1505944959695118</v>
      </c>
      <c r="N14" s="14">
        <v>0.31895533791762309</v>
      </c>
      <c r="O14" s="44">
        <v>0.15797354581294018</v>
      </c>
      <c r="P14" s="14">
        <v>7.8750445508522837E-2</v>
      </c>
      <c r="Q14" s="14">
        <v>0.13222240713221933</v>
      </c>
      <c r="R14" s="14">
        <v>0.15679386875298743</v>
      </c>
      <c r="S14" s="44">
        <v>0.5955907717651383</v>
      </c>
      <c r="T14" s="14">
        <v>0.18394408388863415</v>
      </c>
      <c r="U14" s="14">
        <v>0.1412329206318956</v>
      </c>
      <c r="V14" s="14">
        <v>0.13566069514622559</v>
      </c>
      <c r="W14" s="44">
        <v>1.3024164838172496</v>
      </c>
      <c r="X14" s="31" t="s">
        <v>112</v>
      </c>
      <c r="Y14" s="33">
        <v>8</v>
      </c>
      <c r="Z14" s="33" t="s">
        <v>114</v>
      </c>
      <c r="AA14" s="33" t="s">
        <v>114</v>
      </c>
      <c r="AB14" s="33" t="s">
        <v>114</v>
      </c>
      <c r="AC14" s="33" t="s">
        <v>114</v>
      </c>
      <c r="AD14" s="47" t="s">
        <v>114</v>
      </c>
      <c r="AE14" s="47" t="s">
        <v>54</v>
      </c>
    </row>
    <row r="15" spans="1:31" s="8" customFormat="1" ht="21.75" customHeight="1" x14ac:dyDescent="0.35">
      <c r="A15" s="12"/>
      <c r="B15" s="13"/>
      <c r="C15" s="14"/>
      <c r="D15" s="14"/>
      <c r="E15" s="14"/>
      <c r="F15" s="14"/>
      <c r="G15" s="44"/>
      <c r="H15" s="14"/>
      <c r="I15" s="14"/>
      <c r="J15" s="14"/>
      <c r="K15" s="44"/>
      <c r="L15" s="14"/>
      <c r="M15" s="14"/>
      <c r="N15" s="14"/>
      <c r="O15" s="44"/>
      <c r="P15" s="14"/>
      <c r="Q15" s="14"/>
      <c r="R15" s="14"/>
      <c r="S15" s="44"/>
      <c r="T15" s="14"/>
      <c r="U15" s="14"/>
      <c r="V15" s="14"/>
      <c r="W15" s="44"/>
      <c r="X15" s="31"/>
      <c r="Y15" s="33"/>
      <c r="Z15" s="33"/>
      <c r="AA15" s="33"/>
      <c r="AB15" s="33"/>
      <c r="AC15" s="33"/>
      <c r="AD15" s="47"/>
      <c r="AE15" s="47"/>
    </row>
    <row r="16" spans="1:31" x14ac:dyDescent="0.35">
      <c r="A16" s="36" t="s">
        <v>2</v>
      </c>
      <c r="B16" s="36" t="s">
        <v>3</v>
      </c>
      <c r="C16" s="37">
        <f>AVERAGE(Table5[Performance annualisée depuis 01/08])</f>
        <v>2.6286348566643913E-2</v>
      </c>
      <c r="D16" s="37">
        <f>AVERAGE(Table5[Perf. Totale depuis 01/08])</f>
        <v>0.66442273512876671</v>
      </c>
      <c r="E16" s="37">
        <f>AVERAGE(Table5[Volatilité annualisée depuis 01/08])</f>
        <v>0.16816462807142835</v>
      </c>
      <c r="F16" s="37">
        <f>AVERAGE(Table5[Max Drawdown depuis 01/08])</f>
        <v>0.48963206385179564</v>
      </c>
      <c r="G16" s="42">
        <f>AVERAGE(Table5[Couple Rendement / Risque depuis 01/08])</f>
        <v>0.17361966845441365</v>
      </c>
      <c r="H16" s="37">
        <f>AVERAGE(Table5[Performance annualisée 10 ans])</f>
        <v>5.232325285680646E-2</v>
      </c>
      <c r="I16" s="37">
        <f>AVERAGE(Table5[Volatilité annualisée 10 ans])</f>
        <v>0.15357247580203778</v>
      </c>
      <c r="J16" s="37">
        <f>AVERAGE(Table5[Max Drawdown 10 ans])</f>
        <v>0.43581599517249325</v>
      </c>
      <c r="K16" s="42">
        <f>AVERAGE(Table5[Couple Rendement Risque 10 ans])</f>
        <v>0.35086028669732111</v>
      </c>
      <c r="L16" s="37">
        <f>AVERAGE(Table5[Performance annualisée 5 ans])</f>
        <v>8.9495443937258317E-3</v>
      </c>
      <c r="M16" s="37">
        <f>AVERAGE(Table5[Volatilité annualisée 5 ans])</f>
        <v>0.15311594284999558</v>
      </c>
      <c r="N16" s="37">
        <f>AVERAGE(Table5[Max Drawdown 5 ans])</f>
        <v>0.39356322360949053</v>
      </c>
      <c r="O16" s="42">
        <f>AVERAGE(Table5[Couple Rendement Risque 5 ans])</f>
        <v>8.1201463541653723E-2</v>
      </c>
      <c r="P16" s="37">
        <f>AVERAGE(Table5[Performance annualisée 3 ans])</f>
        <v>5.6987363804267034E-2</v>
      </c>
      <c r="Q16" s="37">
        <f>AVERAGE(Table5[Volatilité annualisée 3 ans])</f>
        <v>0.1308655674842451</v>
      </c>
      <c r="R16" s="37">
        <f>AVERAGE(Table5[Max Drawdown 3 ans])</f>
        <v>0.19822665731672195</v>
      </c>
      <c r="S16" s="42">
        <f>AVERAGE(Table5[Couple Rendement Risque 3 ans])</f>
        <v>0.45663147371751778</v>
      </c>
      <c r="T16" s="37">
        <f>AVERAGE(Table5[Performance annualisée 1 an])</f>
        <v>0.15834198793935292</v>
      </c>
      <c r="U16" s="37">
        <f>AVERAGE(Table5[Volatilité annualisée 1 an])</f>
        <v>0.14421885038458057</v>
      </c>
      <c r="V16" s="37">
        <f>AVERAGE(Table5[Max Drawdown 1 an])</f>
        <v>0.13627784567369219</v>
      </c>
      <c r="W16" s="42">
        <f>AVERAGE(Table5[Couple Rendement Risque 1 an])</f>
        <v>1.1298182097535017</v>
      </c>
      <c r="X16" s="38"/>
      <c r="Y16" s="37"/>
      <c r="Z16" s="37"/>
      <c r="AA16" s="37"/>
      <c r="AB16" s="37"/>
      <c r="AC16" s="37"/>
      <c r="AD16" s="37"/>
      <c r="AE16" s="37"/>
    </row>
    <row r="17" spans="1:28" x14ac:dyDescent="0.35">
      <c r="A17" s="7"/>
    </row>
    <row r="18" spans="1:28" x14ac:dyDescent="0.35">
      <c r="E18" s="2"/>
      <c r="F18" s="2"/>
    </row>
    <row r="19" spans="1:28" x14ac:dyDescent="0.35">
      <c r="E19" s="2"/>
      <c r="F19" s="2"/>
    </row>
    <row r="20" spans="1:28" x14ac:dyDescent="0.35">
      <c r="E20" s="2"/>
      <c r="F20" s="2"/>
      <c r="S20" s="2" t="s">
        <v>13</v>
      </c>
    </row>
    <row r="21" spans="1:28" x14ac:dyDescent="0.35">
      <c r="E21" s="2"/>
      <c r="F21" s="2"/>
      <c r="AB21" s="6"/>
    </row>
    <row r="22" spans="1:28" x14ac:dyDescent="0.35">
      <c r="E22" s="2"/>
      <c r="F22" s="2"/>
    </row>
    <row r="23" spans="1:28" x14ac:dyDescent="0.35">
      <c r="E23" s="2"/>
      <c r="F23" s="2"/>
    </row>
    <row r="24" spans="1:28" x14ac:dyDescent="0.35">
      <c r="E24" s="2"/>
      <c r="F24" s="2"/>
    </row>
    <row r="25" spans="1:28" x14ac:dyDescent="0.35">
      <c r="E25" s="2"/>
      <c r="F25" s="2"/>
    </row>
    <row r="26" spans="1:28" x14ac:dyDescent="0.35">
      <c r="E26" s="2"/>
      <c r="F26" s="2"/>
    </row>
    <row r="27" spans="1:28" x14ac:dyDescent="0.35">
      <c r="E27" s="2"/>
      <c r="F27" s="2"/>
    </row>
    <row r="28" spans="1:28" x14ac:dyDescent="0.35">
      <c r="E28" s="2"/>
      <c r="F28" s="2"/>
    </row>
    <row r="29" spans="1:28" x14ac:dyDescent="0.35">
      <c r="E29" s="2"/>
      <c r="F29" s="2"/>
    </row>
    <row r="30" spans="1:28" x14ac:dyDescent="0.35">
      <c r="E30" s="2"/>
      <c r="F30" s="2"/>
    </row>
    <row r="31" spans="1:28" x14ac:dyDescent="0.35">
      <c r="E31" s="2"/>
      <c r="F31" s="2"/>
    </row>
    <row r="32" spans="1:28" x14ac:dyDescent="0.35"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</sheetData>
  <sheetProtection selectLockedCells="1"/>
  <phoneticPr fontId="23" type="noConversion"/>
  <conditionalFormatting sqref="C4:C15">
    <cfRule type="iconSet" priority="510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5">
    <cfRule type="iconSet" priority="511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5">
    <cfRule type="iconSet" priority="51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5">
    <cfRule type="iconSet" priority="51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5">
    <cfRule type="iconSet" priority="511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4:X24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5">
    <cfRule type="iconSet" priority="51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5">
    <cfRule type="iconSet" priority="512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5">
    <cfRule type="iconSet" priority="512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5">
    <cfRule type="iconSet" priority="512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5">
    <cfRule type="iconSet" priority="512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5">
    <cfRule type="iconSet" priority="512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5">
    <cfRule type="iconSet" priority="513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5">
    <cfRule type="iconSet" priority="513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5">
    <cfRule type="iconSet" priority="513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5">
    <cfRule type="iconSet" priority="513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5">
    <cfRule type="iconSet" priority="513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5">
    <cfRule type="iconSet" priority="514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15">
    <cfRule type="iconSet" priority="514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15">
    <cfRule type="iconSet" priority="514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15">
    <cfRule type="iconSet" priority="514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15">
    <cfRule type="iconSet" priority="514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80314965" right="0.78740157480314965" top="0.98425196850393704" bottom="0.98425196850393704" header="0.51181102362204722" footer="0.51181102362204722"/>
  <pageSetup paperSize="9" scale="28" orientation="landscape" horizontalDpi="4294967292" verticalDpi="4294967292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Monétaire</vt:lpstr>
      <vt:lpstr>Obligataire</vt:lpstr>
      <vt:lpstr>Obli Flex Int</vt:lpstr>
      <vt:lpstr>Diversifié Prudent</vt:lpstr>
      <vt:lpstr>Diversifié Equilibre 50-50</vt:lpstr>
      <vt:lpstr>Diversifié Flexible</vt:lpstr>
      <vt:lpstr>Actions Europe</vt:lpstr>
      <vt:lpstr>Actions Monde</vt:lpstr>
      <vt:lpstr>Actions PEA PME</vt:lpstr>
      <vt:lpstr>Horizon</vt:lpstr>
      <vt:lpstr>Fonds thématique environnement</vt:lpstr>
      <vt:lpstr>Fonds thématique social</vt:lpstr>
      <vt:lpstr>Fonds thématique "Autre"</vt:lpstr>
      <vt:lpstr>'Actions Europe'!Zone_d_impression</vt:lpstr>
      <vt:lpstr>'Actions Monde'!Zone_d_impression</vt:lpstr>
      <vt:lpstr>'Actions PEA PME'!Zone_d_impression</vt:lpstr>
      <vt:lpstr>'Diversifié Equilibre 50-50'!Zone_d_impression</vt:lpstr>
      <vt:lpstr>'Diversifié Flexible'!Zone_d_impression</vt:lpstr>
      <vt:lpstr>'Diversifié Prudent'!Zone_d_impression</vt:lpstr>
      <vt:lpstr>'Fonds thématique "Autre"'!Zone_d_impression</vt:lpstr>
      <vt:lpstr>'Fonds thématique environnement'!Zone_d_impression</vt:lpstr>
      <vt:lpstr>'Fonds thématique social'!Zone_d_impression</vt:lpstr>
      <vt:lpstr>Horizon!Zone_d_impression</vt:lpstr>
      <vt:lpstr>Monétaire!Zone_d_impression</vt:lpstr>
      <vt:lpstr>'Obli Flex Int'!Zone_d_impression</vt:lpstr>
      <vt:lpstr>Obligataire!Zone_d_impression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Clerbois</dc:creator>
  <cp:lastModifiedBy>Emmanuel Codet</cp:lastModifiedBy>
  <cp:lastPrinted>2025-02-10T10:58:30Z</cp:lastPrinted>
  <dcterms:created xsi:type="dcterms:W3CDTF">2013-12-23T18:18:13Z</dcterms:created>
  <dcterms:modified xsi:type="dcterms:W3CDTF">2026-03-25T09:25:51Z</dcterms:modified>
</cp:coreProperties>
</file>